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9260" windowHeight="5580" activeTab="0"/>
  </bookViews>
  <sheets>
    <sheet name="Main Worksheet" sheetId="1" r:id="rId1"/>
    <sheet name="Note on Escalation" sheetId="2" r:id="rId2"/>
    <sheet name="SAC-1" sheetId="3" r:id="rId3"/>
    <sheet name="DT-Chart" sheetId="4" r:id="rId4"/>
    <sheet name="DT-Tables" sheetId="5" r:id="rId5"/>
    <sheet name="Trib-Table" sheetId="6" r:id="rId6"/>
  </sheets>
  <definedNames>
    <definedName name="_xlfn.COUNTIFS" hidden="1">#NAME?</definedName>
    <definedName name="_xlfn.SINGLE" hidden="1">#NAME?</definedName>
    <definedName name="AO__4">#REF!</definedName>
  </definedNames>
  <calcPr fullCalcOnLoad="1"/>
</workbook>
</file>

<file path=xl/sharedStrings.xml><?xml version="1.0" encoding="utf-8"?>
<sst xmlns="http://schemas.openxmlformats.org/spreadsheetml/2006/main" count="127" uniqueCount="115">
  <si>
    <t>Storage</t>
  </si>
  <si>
    <t>SAF</t>
  </si>
  <si>
    <t>Adjusted</t>
  </si>
  <si>
    <t>Project Name:</t>
  </si>
  <si>
    <t>Storage Volume(s):</t>
  </si>
  <si>
    <t>Drawdown</t>
  </si>
  <si>
    <t>Drainage Area (square miles)</t>
  </si>
  <si>
    <t>Inches</t>
  </si>
  <si>
    <t>Acre-feet</t>
  </si>
  <si>
    <t>Volume Adjustment Factor</t>
  </si>
  <si>
    <t>Detention Time:</t>
  </si>
  <si>
    <t>Emergency Spillway</t>
  </si>
  <si>
    <t>Volume (ac-ft)</t>
  </si>
  <si>
    <t>10% of Ungated</t>
  </si>
  <si>
    <t>90% of Ungated Volume</t>
  </si>
  <si>
    <t>Discharge (cfs)</t>
  </si>
  <si>
    <t>Average Discharge (cfs)</t>
  </si>
  <si>
    <t>Discharge in AF per day</t>
  </si>
  <si>
    <t>Average Detention Time (days)</t>
  </si>
  <si>
    <t>Two River @ Lake Bronson</t>
  </si>
  <si>
    <t>Middle River @ Argyle</t>
  </si>
  <si>
    <t>Red Lake River @ Crookston</t>
  </si>
  <si>
    <t>Clear Water @ Red Lake Falls</t>
  </si>
  <si>
    <t>Lost River @ Oklee</t>
  </si>
  <si>
    <t>Clearwater @ Plummer</t>
  </si>
  <si>
    <t>Thief River @ TRF</t>
  </si>
  <si>
    <t>Red Lake River @ Highlanding</t>
  </si>
  <si>
    <t>Sandhill River @ Climax</t>
  </si>
  <si>
    <t>Marsh River nr Shelly</t>
  </si>
  <si>
    <t>Wild Rice River @ Hendrum</t>
  </si>
  <si>
    <t>Wild Rice @ Twin Valley</t>
  </si>
  <si>
    <t>Buffalo River nr Dilworth</t>
  </si>
  <si>
    <t>Buffalo River nr Hawley</t>
  </si>
  <si>
    <t>South Branch Buffalo River @ Sabin</t>
  </si>
  <si>
    <t>Bois de Sioux nr White Rock</t>
  </si>
  <si>
    <t>Description</t>
  </si>
  <si>
    <t>Days before (-) Days after (+)</t>
  </si>
  <si>
    <t>Peak</t>
  </si>
  <si>
    <t>Watershed District:</t>
  </si>
  <si>
    <t>Project Location:</t>
  </si>
  <si>
    <t>Est. of Ungated Detention Time</t>
  </si>
  <si>
    <t>Red River Watershed Management Board</t>
  </si>
  <si>
    <t>Table 1</t>
  </si>
  <si>
    <t>RRWMB Cost:</t>
  </si>
  <si>
    <t>Estimated Total Cost:</t>
  </si>
  <si>
    <t>Gated (1)</t>
  </si>
  <si>
    <t>Gated (2)</t>
  </si>
  <si>
    <t>Year of Estimate:</t>
  </si>
  <si>
    <t>Existing Relative T</t>
  </si>
  <si>
    <t>Prepared By:</t>
  </si>
  <si>
    <t>Source of Data:</t>
  </si>
  <si>
    <t>Frequency/Date of Preparation:</t>
  </si>
  <si>
    <r>
      <t xml:space="preserve">UnGated </t>
    </r>
    <r>
      <rPr>
        <sz val="7"/>
        <rFont val="Arial"/>
        <family val="2"/>
      </rPr>
      <t>(from Operation Plan or above)</t>
    </r>
  </si>
  <si>
    <t>Enter name of preparer</t>
  </si>
  <si>
    <t>Enter source data.</t>
  </si>
  <si>
    <t>Total Cost divided by STAR Value</t>
  </si>
  <si>
    <t>RRWMB Cost divided by STAR Value</t>
  </si>
  <si>
    <t>STAR VALUE</t>
  </si>
  <si>
    <t xml:space="preserve"> Routed Relative T</t>
  </si>
  <si>
    <t>Enter the estimated project costs.  These are used to compute the cost per star value.</t>
  </si>
  <si>
    <t>Enter Project Location.</t>
  </si>
  <si>
    <t>Enter Name of Watershed District.</t>
  </si>
  <si>
    <t>Enter gated detention time for the 1st category of gated storage.</t>
  </si>
  <si>
    <t>Enter gated detention time for the 2nd category of gated storage.</t>
  </si>
  <si>
    <t>Enter the drainage area in square miles used to compute the runoff volume.</t>
  </si>
  <si>
    <r>
      <t xml:space="preserve">Average Time Interval between Routed Site Peak and Red River Peak (days).  </t>
    </r>
    <r>
      <rPr>
        <sz val="7"/>
        <rFont val="Arial"/>
        <family val="2"/>
      </rPr>
      <t>(Negative is ahead of peak, positive is after peak)</t>
    </r>
  </si>
  <si>
    <r>
      <t>Gated (1)</t>
    </r>
    <r>
      <rPr>
        <sz val="7"/>
        <rFont val="Arial"/>
        <family val="2"/>
      </rPr>
      <t xml:space="preserve"> from Operation plan</t>
    </r>
  </si>
  <si>
    <r>
      <t>Gated (2)</t>
    </r>
    <r>
      <rPr>
        <sz val="7"/>
        <rFont val="Arial"/>
        <family val="2"/>
      </rPr>
      <t xml:space="preserve"> from Operation plan</t>
    </r>
  </si>
  <si>
    <r>
      <t>Ungated</t>
    </r>
    <r>
      <rPr>
        <sz val="7"/>
        <rFont val="Arial"/>
        <family val="2"/>
      </rPr>
      <t xml:space="preserve"> (to emergency spillway)</t>
    </r>
  </si>
  <si>
    <t>Elevation (ft)</t>
  </si>
  <si>
    <t>Enter Project Name. (Status eg Step)</t>
  </si>
  <si>
    <t>Adj. Storage (Ac-ft)</t>
  </si>
  <si>
    <t>Existing Relative T is based on the average time interval between the routed site peak flows and the RRN.</t>
  </si>
  <si>
    <t>Routed relative T is the value of the detention times computed using the regression equations given in figure 3.  The Existing Relative T is subtracted from the project Relative T.</t>
  </si>
  <si>
    <t>Enter frequency and date.</t>
  </si>
  <si>
    <t>Enter values only in the cells that have been shaded.  All other values are computed from these values.</t>
  </si>
  <si>
    <t>Adj</t>
  </si>
  <si>
    <t>Runoff</t>
  </si>
  <si>
    <t>Ratio</t>
  </si>
  <si>
    <t>SAF-1</t>
  </si>
  <si>
    <t>Prev-Factor</t>
  </si>
  <si>
    <r>
      <t>Total Storage</t>
    </r>
    <r>
      <rPr>
        <sz val="7"/>
        <rFont val="Arial"/>
        <family val="2"/>
      </rPr>
      <t xml:space="preserve"> (8.1 inches Max.)</t>
    </r>
  </si>
  <si>
    <t>Adj. Storage
(ac-ft)</t>
  </si>
  <si>
    <t>Enter ungated detention time. (Center of Mass to Center of mass)</t>
  </si>
  <si>
    <t>Offset of center of mass of inflow hydrogragh to center of mass of storage.</t>
  </si>
  <si>
    <t>Detention</t>
  </si>
  <si>
    <t>Time</t>
  </si>
  <si>
    <t>Note: this section is provided for reference only.  The values are not used in the calculations.</t>
  </si>
  <si>
    <t>Ungated Storage Offset</t>
  </si>
  <si>
    <t>change for arrowhead</t>
  </si>
  <si>
    <t>Points plotted for line and arrowhead</t>
  </si>
  <si>
    <t>Pre-Project</t>
  </si>
  <si>
    <t>Post Project</t>
  </si>
  <si>
    <t>Detention Time</t>
  </si>
  <si>
    <t>coordinates for pre-project relative time (Vertical Line)</t>
  </si>
  <si>
    <t>coordinates for post project relative time (Vertical Line)</t>
  </si>
  <si>
    <t>Pre-projectAdjusted Value (Horizontal Line)</t>
  </si>
  <si>
    <t>Post-project Adjusted Value (Horizontal Line)</t>
  </si>
  <si>
    <t>Table of Relative Values</t>
  </si>
  <si>
    <t>The Following Tables Contain the Construction Lines for the DT-Chart</t>
  </si>
  <si>
    <t>Average Time Interval between the routed USGS gaged</t>
  </si>
  <si>
    <t xml:space="preserve">watershed hydrograph peak and the Red River </t>
  </si>
  <si>
    <t xml:space="preserve">         hydrograph peak</t>
  </si>
  <si>
    <t>The adjusted storage is total storage is multiplied by the Volume Adjustment Factor which can reduce the storage. Storage is removed 1st from the ungated storage, 2nd from the gated (2) storage, 3rd from the gated (1) storage and last from the drawdown st</t>
  </si>
  <si>
    <r>
      <t xml:space="preserve">Beginning with Calendar Year 2022, the RRWMB began using the Corps of Engineers Civil Works Construction Cost Index </t>
    </r>
    <r>
      <rPr>
        <b/>
        <sz val="10"/>
        <rFont val="Arial"/>
        <family val="2"/>
      </rPr>
      <t>(CWCCIS)</t>
    </r>
    <r>
      <rPr>
        <sz val="10"/>
        <rFont val="Arial"/>
        <family val="0"/>
      </rPr>
      <t xml:space="preserve"> as the index of inflation</t>
    </r>
  </si>
  <si>
    <t>For reference, as of Jan. 2022 the CWCCI values could be found online at this location.</t>
  </si>
  <si>
    <t>https://usace.contentdm.oclc.org/digital/collection/p16021coll9/id/2550</t>
  </si>
  <si>
    <t>(Form updated Jan. 2022)</t>
  </si>
  <si>
    <r>
      <t xml:space="preserve">The Red River Basin Coordinator will maintain a list of CWCCI values for each year from 2000-to-present in a </t>
    </r>
    <r>
      <rPr>
        <u val="single"/>
        <sz val="10"/>
        <rFont val="Arial"/>
        <family val="2"/>
      </rPr>
      <t>separate</t>
    </r>
    <r>
      <rPr>
        <sz val="10"/>
        <rFont val="Arial"/>
        <family val="2"/>
      </rPr>
      <t xml:space="preserve"> spreadsheet.  The CWCCI values are used each year to update the RRWMB's "cap" for cost-per-STar in that year. The CWCCI values are not used in the STar value calculation worksheet.  </t>
    </r>
  </si>
  <si>
    <t>STar Value Computation Worksheet</t>
  </si>
  <si>
    <t>STar Value</t>
  </si>
  <si>
    <t>Total Cost per STar</t>
  </si>
  <si>
    <t>RRWMB Cost per STar</t>
  </si>
  <si>
    <t>Calculation of STar Value</t>
  </si>
  <si>
    <t>Year will be used to compare with the RRWMB's cost cap as escalated by the USACE's CWCCI.</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</si>
</sst>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_(* #,##0.0000_);_(* \(#,##0.0000\);_(* &quot;-&quot;????_);_(@_)"/>
    <numFmt numFmtId="169" formatCode="_(* #,##0.000_);_(* \(#,##0.000\);_(* &quot;-&quot;??_);_(@_)"/>
    <numFmt numFmtId="170" formatCode="_(* #,##0.0000_);_(* \(#,##0.0000\);_(* &quot;-&quot;??_);_(@_)"/>
    <numFmt numFmtId="171" formatCode="_(* #,##0.00000_);_(* \(#,##0.00000\);_(* &quot;-&quot;??_);_(@_)"/>
    <numFmt numFmtId="172" formatCode="_(* #,##0.000_);_(* \(#,##0.000\);_(* &quot;-&quot;???_);_(@_)"/>
    <numFmt numFmtId="173" formatCode="_(* #,##0.0_);_(* \(#,##0.0\);_(* &quot;-&quot;?_);_(@_)"/>
    <numFmt numFmtId="174" formatCode="_(* #,##0.0_);_(* \(#,##0.0\);_(* &quot;-&quot;??_);_(@_)"/>
    <numFmt numFmtId="175" formatCode="_(&quot;$&quot;* #,##0.0_);_(&quot;$&quot;* \(#,##0.0\);_(&quot;$&quot;* &quot;-&quot;??_);_(@_)"/>
    <numFmt numFmtId="176" formatCode="_(&quot;$&quot;* #,##0_);_(&quot;$&quot;* \(#,##0\);_(&quot;$&quot;* &quot;-&quot;??_);_(@_)"/>
    <numFmt numFmtId="177" formatCode="#,##0.000"/>
    <numFmt numFmtId="178" formatCode="&quot;Yes&quot;;&quot;Yes&quot;;&quot;No&quot;"/>
    <numFmt numFmtId="179" formatCode="&quot;True&quot;;&quot;True&quot;;&quot;False&quot;"/>
    <numFmt numFmtId="180" formatCode="&quot;On&quot;;&quot;On&quot;;&quot;Off&quot;"/>
    <numFmt numFmtId="181" formatCode="yyyy"/>
    <numFmt numFmtId="182" formatCode="0.0000000000"/>
    <numFmt numFmtId="183" formatCode="0.00000"/>
    <numFmt numFmtId="184" formatCode="_(* #,##0_);_(* \(#,##0\);_(* &quot;-&quot;??_);_(@_)"/>
    <numFmt numFmtId="185" formatCode="mmmm\ d\,\ yyyy"/>
    <numFmt numFmtId="186" formatCode="0.0%"/>
    <numFmt numFmtId="187" formatCode="0.000%"/>
    <numFmt numFmtId="188" formatCode="_(* #,##0.000000_);_(* \(#,##0.000000\);_(* &quot;-&quot;??_);_(@_)"/>
    <numFmt numFmtId="189" formatCode="_(* #,##0.0000000_);_(* \(#,##0.0000000\);_(* &quot;-&quot;??_);_(@_)"/>
    <numFmt numFmtId="190" formatCode="_(* #,##0.00000000_);_(* \(#,##0.00000000\);_(* &quot;-&quot;??_);_(@_)"/>
    <numFmt numFmtId="191" formatCode="#,##0.0_);\(#,##0.0\)"/>
    <numFmt numFmtId="192" formatCode="#,##0.00000"/>
    <numFmt numFmtId="193" formatCode="0_);\(0\)"/>
    <numFmt numFmtId="194" formatCode="0.000000"/>
    <numFmt numFmtId="195" formatCode="[$€-2]\ #,##0.00_);[Red]\([$€-2]\ #,##0.00\)"/>
    <numFmt numFmtId="196" formatCode="#0.000"/>
    <numFmt numFmtId="197" formatCode="h:mm:ss;@"/>
    <numFmt numFmtId="198" formatCode="[$-409]d\-mmm\-yy;@"/>
    <numFmt numFmtId="199" formatCode="[$-F800]dddd\,\ mmmm\ dd\,\ yyyy"/>
    <numFmt numFmtId="200" formatCode="[$-409]mmm\-yy;@"/>
  </numFmts>
  <fonts count="54">
    <font>
      <sz val="10"/>
      <name val="Arial"/>
      <family val="0"/>
    </font>
    <font>
      <sz val="8"/>
      <name val="Arial"/>
      <family val="2"/>
    </font>
    <font>
      <b/>
      <sz val="8"/>
      <name val="Arial"/>
      <family val="2"/>
    </font>
    <font>
      <b/>
      <sz val="10"/>
      <name val="Arial"/>
      <family val="2"/>
    </font>
    <font>
      <sz val="12"/>
      <name val="Arial"/>
      <family val="2"/>
    </font>
    <font>
      <u val="single"/>
      <sz val="10"/>
      <color indexed="12"/>
      <name val="Arial"/>
      <family val="2"/>
    </font>
    <font>
      <u val="single"/>
      <sz val="10"/>
      <color indexed="36"/>
      <name val="Arial"/>
      <family val="2"/>
    </font>
    <font>
      <b/>
      <sz val="12"/>
      <name val="Arial"/>
      <family val="2"/>
    </font>
    <font>
      <sz val="7"/>
      <name val="Arial"/>
      <family val="2"/>
    </font>
    <font>
      <sz val="6"/>
      <name val="Arial"/>
      <family val="2"/>
    </font>
    <font>
      <b/>
      <sz val="7"/>
      <name val="Arial"/>
      <family val="2"/>
    </font>
    <font>
      <b/>
      <sz val="8"/>
      <color indexed="52"/>
      <name val="Arial"/>
      <family val="2"/>
    </font>
    <font>
      <u val="single"/>
      <sz val="10"/>
      <name val="Arial"/>
      <family val="2"/>
    </font>
    <font>
      <sz val="12"/>
      <color indexed="8"/>
      <name val="Arial"/>
      <family val="2"/>
    </font>
    <font>
      <sz val="8"/>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vertAlign val="superscript"/>
      <sz val="8"/>
      <color indexed="8"/>
      <name val="Arial"/>
      <family val="2"/>
    </font>
    <font>
      <sz val="12.25"/>
      <color indexed="8"/>
      <name val="Arial"/>
      <family val="2"/>
    </font>
    <font>
      <b/>
      <sz val="11"/>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style="thin"/>
    </border>
    <border>
      <left style="double"/>
      <right>
        <color indexed="63"/>
      </right>
      <top style="double"/>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16" fillId="0" borderId="0">
      <alignment/>
      <protection/>
    </xf>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right" wrapText="1"/>
    </xf>
    <xf numFmtId="0" fontId="2" fillId="0" borderId="0" xfId="0" applyFont="1" applyAlignment="1">
      <alignment horizontal="right"/>
    </xf>
    <xf numFmtId="0" fontId="2" fillId="0" borderId="0" xfId="0" applyFont="1" applyFill="1" applyBorder="1" applyAlignment="1">
      <alignment horizontal="left"/>
    </xf>
    <xf numFmtId="0" fontId="2" fillId="0" borderId="0" xfId="0" applyFont="1" applyAlignment="1">
      <alignment/>
    </xf>
    <xf numFmtId="0" fontId="2" fillId="0" borderId="0" xfId="0" applyFont="1" applyFill="1" applyBorder="1" applyAlignment="1" applyProtection="1">
      <alignment horizontal="left"/>
      <protection locked="0"/>
    </xf>
    <xf numFmtId="176" fontId="2" fillId="33" borderId="10" xfId="47" applyNumberFormat="1" applyFont="1" applyFill="1" applyBorder="1" applyAlignment="1" applyProtection="1">
      <alignment horizontal="left"/>
      <protection locked="0"/>
    </xf>
    <xf numFmtId="1" fontId="1" fillId="0" borderId="0" xfId="0" applyNumberFormat="1" applyFont="1" applyAlignment="1">
      <alignment/>
    </xf>
    <xf numFmtId="43" fontId="2" fillId="0" borderId="0" xfId="42" applyFont="1" applyFill="1" applyBorder="1" applyAlignment="1">
      <alignment horizontal="left"/>
    </xf>
    <xf numFmtId="0" fontId="2" fillId="0" borderId="0" xfId="0" applyFont="1" applyFill="1" applyAlignment="1">
      <alignment/>
    </xf>
    <xf numFmtId="3" fontId="2" fillId="33" borderId="10" xfId="0" applyNumberFormat="1" applyFont="1" applyFill="1" applyBorder="1" applyAlignment="1" applyProtection="1">
      <alignment/>
      <protection locked="0"/>
    </xf>
    <xf numFmtId="4" fontId="1" fillId="0" borderId="0" xfId="42" applyNumberFormat="1" applyFont="1" applyAlignment="1" applyProtection="1">
      <alignment/>
      <protection hidden="1"/>
    </xf>
    <xf numFmtId="3" fontId="1" fillId="0" borderId="0" xfId="0" applyNumberFormat="1" applyFont="1" applyBorder="1" applyAlignment="1" applyProtection="1">
      <alignment/>
      <protection hidden="1"/>
    </xf>
    <xf numFmtId="3" fontId="2" fillId="33" borderId="11" xfId="0" applyNumberFormat="1" applyFont="1" applyFill="1" applyBorder="1" applyAlignment="1" applyProtection="1">
      <alignment/>
      <protection locked="0"/>
    </xf>
    <xf numFmtId="4" fontId="1" fillId="0" borderId="12" xfId="42" applyNumberFormat="1" applyFont="1" applyBorder="1" applyAlignment="1" applyProtection="1">
      <alignment/>
      <protection hidden="1"/>
    </xf>
    <xf numFmtId="3" fontId="1" fillId="0" borderId="12" xfId="0" applyNumberFormat="1" applyFont="1" applyBorder="1" applyAlignment="1" applyProtection="1">
      <alignment/>
      <protection hidden="1"/>
    </xf>
    <xf numFmtId="0" fontId="1" fillId="0" borderId="0" xfId="0" applyFont="1" applyAlignment="1">
      <alignment horizontal="left" indent="2"/>
    </xf>
    <xf numFmtId="4" fontId="1" fillId="0" borderId="0" xfId="0" applyNumberFormat="1" applyFont="1" applyAlignment="1" applyProtection="1">
      <alignment/>
      <protection hidden="1"/>
    </xf>
    <xf numFmtId="3" fontId="1" fillId="0" borderId="0" xfId="0" applyNumberFormat="1" applyFont="1" applyAlignment="1" applyProtection="1">
      <alignment/>
      <protection hidden="1"/>
    </xf>
    <xf numFmtId="3" fontId="1" fillId="0" borderId="0" xfId="0" applyNumberFormat="1" applyFont="1" applyBorder="1" applyAlignment="1">
      <alignment/>
    </xf>
    <xf numFmtId="0" fontId="2" fillId="0" borderId="0" xfId="0" applyFont="1" applyBorder="1" applyAlignment="1">
      <alignment/>
    </xf>
    <xf numFmtId="0" fontId="2" fillId="0" borderId="0" xfId="0" applyFont="1" applyAlignment="1">
      <alignment wrapText="1"/>
    </xf>
    <xf numFmtId="167" fontId="2" fillId="33" borderId="10" xfId="0" applyNumberFormat="1" applyFont="1" applyFill="1" applyBorder="1" applyAlignment="1" applyProtection="1">
      <alignment/>
      <protection locked="0"/>
    </xf>
    <xf numFmtId="167" fontId="1" fillId="0" borderId="0" xfId="0" applyNumberFormat="1" applyFont="1" applyAlignment="1">
      <alignment/>
    </xf>
    <xf numFmtId="3" fontId="1" fillId="0" borderId="0" xfId="0" applyNumberFormat="1" applyFont="1" applyAlignment="1">
      <alignment/>
    </xf>
    <xf numFmtId="3" fontId="1" fillId="0" borderId="12" xfId="0" applyNumberFormat="1" applyFont="1" applyBorder="1" applyAlignment="1">
      <alignment/>
    </xf>
    <xf numFmtId="3" fontId="2" fillId="0" borderId="0" xfId="0" applyNumberFormat="1" applyFont="1" applyAlignment="1">
      <alignment/>
    </xf>
    <xf numFmtId="0" fontId="2" fillId="0" borderId="0" xfId="0" applyFont="1" applyAlignment="1">
      <alignment horizontal="left" indent="1"/>
    </xf>
    <xf numFmtId="0" fontId="1" fillId="33" borderId="13" xfId="0" applyFont="1" applyFill="1" applyBorder="1" applyAlignment="1" applyProtection="1">
      <alignment/>
      <protection locked="0"/>
    </xf>
    <xf numFmtId="3" fontId="2" fillId="0" borderId="0" xfId="0" applyNumberFormat="1" applyFon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1" fillId="0" borderId="12" xfId="0" applyFont="1" applyFill="1" applyBorder="1" applyAlignment="1">
      <alignment/>
    </xf>
    <xf numFmtId="0" fontId="2" fillId="0" borderId="14" xfId="0" applyFont="1" applyFill="1" applyBorder="1" applyAlignment="1">
      <alignment horizontal="left" wrapText="1" indent="1"/>
    </xf>
    <xf numFmtId="3" fontId="2" fillId="33" borderId="13" xfId="0" applyNumberFormat="1" applyFont="1" applyFill="1" applyBorder="1" applyAlignment="1" applyProtection="1">
      <alignment/>
      <protection locked="0"/>
    </xf>
    <xf numFmtId="0" fontId="1" fillId="33" borderId="15" xfId="0" applyFont="1" applyFill="1" applyBorder="1" applyAlignment="1" applyProtection="1">
      <alignment/>
      <protection locked="0"/>
    </xf>
    <xf numFmtId="39" fontId="2" fillId="0" borderId="10" xfId="42" applyNumberFormat="1" applyFont="1" applyBorder="1" applyAlignment="1" applyProtection="1">
      <alignment horizontal="right" wrapText="1"/>
      <protection hidden="1"/>
    </xf>
    <xf numFmtId="39" fontId="1" fillId="0" borderId="10" xfId="42" applyNumberFormat="1" applyFont="1" applyBorder="1" applyAlignment="1" applyProtection="1">
      <alignment/>
      <protection hidden="1"/>
    </xf>
    <xf numFmtId="0" fontId="0" fillId="0" borderId="0" xfId="0" applyBorder="1" applyAlignment="1">
      <alignment/>
    </xf>
    <xf numFmtId="0" fontId="0" fillId="0" borderId="0" xfId="0" applyFill="1" applyBorder="1" applyAlignment="1">
      <alignment/>
    </xf>
    <xf numFmtId="0" fontId="9" fillId="0" borderId="0" xfId="0" applyFont="1" applyFill="1" applyBorder="1" applyAlignment="1">
      <alignment horizontal="left" wrapText="1" indent="1"/>
    </xf>
    <xf numFmtId="0" fontId="8" fillId="0" borderId="0" xfId="0" applyFont="1" applyAlignment="1">
      <alignment/>
    </xf>
    <xf numFmtId="0" fontId="8" fillId="0" borderId="16" xfId="0" applyFont="1" applyFill="1" applyBorder="1" applyAlignment="1">
      <alignment horizontal="left" vertical="center" wrapText="1" indent="2"/>
    </xf>
    <xf numFmtId="0" fontId="0" fillId="0" borderId="16" xfId="0" applyFill="1" applyBorder="1" applyAlignment="1">
      <alignment horizontal="left" vertical="center" wrapText="1" indent="2"/>
    </xf>
    <xf numFmtId="0" fontId="0" fillId="0" borderId="17" xfId="0" applyFill="1" applyBorder="1" applyAlignment="1">
      <alignment horizontal="left" vertical="center" indent="2"/>
    </xf>
    <xf numFmtId="0" fontId="1" fillId="33" borderId="18" xfId="0" applyFont="1" applyFill="1" applyBorder="1" applyAlignment="1" applyProtection="1">
      <alignment/>
      <protection locked="0"/>
    </xf>
    <xf numFmtId="0" fontId="1" fillId="33" borderId="19" xfId="0" applyFont="1" applyFill="1" applyBorder="1" applyAlignment="1">
      <alignment horizontal="left"/>
    </xf>
    <xf numFmtId="0" fontId="1" fillId="33" borderId="20" xfId="0" applyFont="1" applyFill="1" applyBorder="1" applyAlignment="1">
      <alignment horizontal="left"/>
    </xf>
    <xf numFmtId="0" fontId="1" fillId="33" borderId="10" xfId="0" applyFont="1" applyFill="1" applyBorder="1" applyAlignment="1">
      <alignment horizontal="left"/>
    </xf>
    <xf numFmtId="174" fontId="2" fillId="33" borderId="10" xfId="42" applyNumberFormat="1" applyFont="1" applyFill="1" applyBorder="1" applyAlignment="1" applyProtection="1">
      <alignment/>
      <protection locked="0"/>
    </xf>
    <xf numFmtId="0" fontId="2" fillId="0" borderId="0" xfId="0" applyFont="1" applyAlignment="1">
      <alignment vertical="center" wrapText="1"/>
    </xf>
    <xf numFmtId="1" fontId="2" fillId="0" borderId="10" xfId="0" applyNumberFormat="1" applyFont="1" applyBorder="1" applyAlignment="1">
      <alignment horizontal="right"/>
    </xf>
    <xf numFmtId="0" fontId="1" fillId="0" borderId="16" xfId="0" applyFont="1" applyFill="1" applyBorder="1" applyAlignment="1">
      <alignment horizontal="left" indent="2"/>
    </xf>
    <xf numFmtId="0" fontId="2" fillId="0" borderId="0" xfId="0" applyFont="1" applyBorder="1" applyAlignment="1">
      <alignment horizontal="left" indent="1"/>
    </xf>
    <xf numFmtId="0" fontId="2" fillId="0" borderId="21" xfId="0" applyFont="1" applyFill="1" applyBorder="1" applyAlignment="1">
      <alignment horizontal="center"/>
    </xf>
    <xf numFmtId="0" fontId="2" fillId="0" borderId="21" xfId="0" applyFont="1" applyFill="1" applyBorder="1" applyAlignment="1">
      <alignment horizontal="right"/>
    </xf>
    <xf numFmtId="0" fontId="1" fillId="0" borderId="12" xfId="0" applyFont="1" applyFill="1" applyBorder="1" applyAlignment="1">
      <alignment horizontal="right"/>
    </xf>
    <xf numFmtId="0" fontId="2" fillId="33" borderId="10" xfId="0" applyFont="1" applyFill="1" applyBorder="1" applyAlignment="1" applyProtection="1">
      <alignment horizontal="left" wrapText="1"/>
      <protection locked="0"/>
    </xf>
    <xf numFmtId="15" fontId="1" fillId="33" borderId="15" xfId="0" applyNumberFormat="1" applyFont="1" applyFill="1" applyBorder="1" applyAlignment="1">
      <alignment horizontal="left"/>
    </xf>
    <xf numFmtId="0" fontId="1" fillId="0" borderId="0" xfId="0" applyFont="1" applyAlignment="1">
      <alignment horizontal="right"/>
    </xf>
    <xf numFmtId="0" fontId="1" fillId="0" borderId="0" xfId="0" applyFont="1" applyFill="1" applyAlignment="1">
      <alignment/>
    </xf>
    <xf numFmtId="164" fontId="1" fillId="0" borderId="0" xfId="0" applyNumberFormat="1" applyFont="1" applyAlignment="1">
      <alignment/>
    </xf>
    <xf numFmtId="2" fontId="1" fillId="0" borderId="0" xfId="0" applyNumberFormat="1" applyFont="1" applyAlignment="1">
      <alignment/>
    </xf>
    <xf numFmtId="10" fontId="1" fillId="0" borderId="0" xfId="68" applyNumberFormat="1" applyFont="1" applyAlignment="1">
      <alignment/>
    </xf>
    <xf numFmtId="164" fontId="2" fillId="33" borderId="10" xfId="0" applyNumberFormat="1" applyFont="1" applyFill="1" applyBorder="1" applyAlignment="1" applyProtection="1">
      <alignment/>
      <protection locked="0"/>
    </xf>
    <xf numFmtId="39" fontId="2" fillId="0" borderId="10" xfId="42" applyNumberFormat="1" applyFont="1" applyBorder="1" applyAlignment="1" applyProtection="1">
      <alignment horizontal="center" wrapText="1"/>
      <protection hidden="1"/>
    </xf>
    <xf numFmtId="0" fontId="1" fillId="0" borderId="0" xfId="0" applyFont="1" applyAlignment="1">
      <alignment horizontal="center"/>
    </xf>
    <xf numFmtId="4" fontId="1" fillId="0" borderId="0" xfId="0" applyNumberFormat="1" applyFont="1" applyFill="1" applyAlignment="1">
      <alignment/>
    </xf>
    <xf numFmtId="0" fontId="8" fillId="0" borderId="0" xfId="0" applyFont="1" applyFill="1" applyBorder="1" applyAlignment="1">
      <alignment horizontal="left" vertical="center" indent="1"/>
    </xf>
    <xf numFmtId="0" fontId="2" fillId="34" borderId="0" xfId="0" applyFont="1" applyFill="1" applyAlignment="1">
      <alignment/>
    </xf>
    <xf numFmtId="4" fontId="1" fillId="34" borderId="0" xfId="42" applyNumberFormat="1" applyFont="1" applyFill="1" applyBorder="1" applyAlignment="1">
      <alignment/>
    </xf>
    <xf numFmtId="39" fontId="2" fillId="0" borderId="10" xfId="42" applyNumberFormat="1" applyFont="1" applyFill="1" applyBorder="1" applyAlignment="1" applyProtection="1">
      <alignment horizontal="right" wrapText="1"/>
      <protection hidden="1"/>
    </xf>
    <xf numFmtId="0" fontId="2" fillId="0" borderId="0" xfId="0" applyFont="1" applyFill="1" applyAlignment="1">
      <alignment horizontal="left" vertical="center" wrapText="1" indent="1"/>
    </xf>
    <xf numFmtId="0" fontId="2" fillId="0" borderId="0" xfId="0" applyFont="1" applyFill="1" applyAlignment="1">
      <alignment horizontal="left" indent="2"/>
    </xf>
    <xf numFmtId="0" fontId="10" fillId="0" borderId="0" xfId="0" applyFont="1" applyFill="1" applyAlignment="1">
      <alignment horizontal="center" wrapText="1"/>
    </xf>
    <xf numFmtId="0" fontId="11" fillId="0" borderId="22" xfId="0" applyFont="1" applyFill="1" applyBorder="1" applyAlignment="1">
      <alignment/>
    </xf>
    <xf numFmtId="0" fontId="11" fillId="0" borderId="23" xfId="0" applyFont="1" applyFill="1" applyBorder="1" applyAlignment="1">
      <alignment/>
    </xf>
    <xf numFmtId="0" fontId="11" fillId="0" borderId="13" xfId="0" applyFont="1" applyFill="1" applyBorder="1" applyAlignment="1">
      <alignment/>
    </xf>
    <xf numFmtId="0" fontId="11" fillId="0" borderId="24" xfId="0" applyFont="1" applyFill="1" applyBorder="1" applyAlignment="1">
      <alignment/>
    </xf>
    <xf numFmtId="0" fontId="1" fillId="0" borderId="25" xfId="0" applyFont="1" applyBorder="1" applyAlignment="1">
      <alignment/>
    </xf>
    <xf numFmtId="0" fontId="1" fillId="0" borderId="26" xfId="0" applyFont="1" applyBorder="1" applyAlignment="1">
      <alignment/>
    </xf>
    <xf numFmtId="0" fontId="1" fillId="33" borderId="22" xfId="0" applyFont="1" applyFill="1" applyBorder="1" applyAlignment="1">
      <alignment/>
    </xf>
    <xf numFmtId="0" fontId="1" fillId="33" borderId="23"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2" fontId="1" fillId="33" borderId="23" xfId="0" applyNumberFormat="1" applyFont="1" applyFill="1" applyBorder="1" applyAlignment="1">
      <alignment/>
    </xf>
    <xf numFmtId="2" fontId="11" fillId="0" borderId="23" xfId="0" applyNumberFormat="1" applyFont="1" applyFill="1" applyBorder="1" applyAlignment="1">
      <alignment/>
    </xf>
    <xf numFmtId="2" fontId="11" fillId="0" borderId="24" xfId="0" applyNumberFormat="1" applyFont="1" applyFill="1" applyBorder="1" applyAlignment="1">
      <alignment/>
    </xf>
    <xf numFmtId="0" fontId="1" fillId="35" borderId="25" xfId="0" applyFont="1" applyFill="1" applyBorder="1" applyAlignment="1">
      <alignment/>
    </xf>
    <xf numFmtId="2" fontId="1" fillId="35" borderId="26" xfId="0" applyNumberFormat="1" applyFont="1" applyFill="1" applyBorder="1" applyAlignment="1">
      <alignment/>
    </xf>
    <xf numFmtId="0" fontId="1" fillId="35" borderId="22" xfId="0" applyFont="1" applyFill="1" applyBorder="1" applyAlignment="1">
      <alignment/>
    </xf>
    <xf numFmtId="2" fontId="1" fillId="35" borderId="23" xfId="0" applyNumberFormat="1" applyFont="1" applyFill="1" applyBorder="1" applyAlignment="1">
      <alignment/>
    </xf>
    <xf numFmtId="0" fontId="1" fillId="35" borderId="13" xfId="0" applyFont="1" applyFill="1" applyBorder="1" applyAlignment="1">
      <alignment/>
    </xf>
    <xf numFmtId="2" fontId="1" fillId="35" borderId="24"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4" fontId="1" fillId="36" borderId="0" xfId="42" applyNumberFormat="1" applyFont="1" applyFill="1" applyBorder="1" applyAlignment="1">
      <alignment/>
    </xf>
    <xf numFmtId="0" fontId="2" fillId="36" borderId="0" xfId="0" applyFont="1" applyFill="1" applyAlignment="1">
      <alignment/>
    </xf>
    <xf numFmtId="0" fontId="7" fillId="0" borderId="0" xfId="0" applyFont="1" applyAlignment="1">
      <alignment horizontal="center"/>
    </xf>
    <xf numFmtId="0" fontId="11" fillId="0" borderId="0" xfId="0" applyFont="1" applyFill="1" applyBorder="1" applyAlignment="1">
      <alignment/>
    </xf>
    <xf numFmtId="1" fontId="2" fillId="33" borderId="10" xfId="47" applyNumberFormat="1" applyFont="1" applyFill="1" applyBorder="1" applyAlignment="1" applyProtection="1">
      <alignment horizontal="right"/>
      <protection locked="0"/>
    </xf>
    <xf numFmtId="44" fontId="2" fillId="0" borderId="10" xfId="47" applyFont="1" applyBorder="1" applyAlignment="1">
      <alignment/>
    </xf>
    <xf numFmtId="0" fontId="5" fillId="0" borderId="0" xfId="59" applyAlignment="1" applyProtection="1">
      <alignment vertical="center"/>
      <protection/>
    </xf>
    <xf numFmtId="0" fontId="7" fillId="0" borderId="0" xfId="0" applyFont="1" applyAlignment="1">
      <alignment horizontal="center"/>
    </xf>
    <xf numFmtId="0" fontId="8" fillId="37" borderId="10" xfId="0" applyFont="1" applyFill="1" applyBorder="1" applyAlignment="1">
      <alignment horizontal="left" vertical="center" wrapText="1" indent="1"/>
    </xf>
    <xf numFmtId="0" fontId="0" fillId="0" borderId="10" xfId="0" applyBorder="1" applyAlignment="1">
      <alignment horizontal="left" vertical="center" indent="1"/>
    </xf>
    <xf numFmtId="0" fontId="2" fillId="33" borderId="18" xfId="0" applyFont="1" applyFill="1" applyBorder="1" applyAlignment="1" applyProtection="1">
      <alignment horizontal="left" wrapText="1"/>
      <protection locked="0"/>
    </xf>
    <xf numFmtId="0" fontId="0" fillId="0" borderId="20" xfId="0" applyBorder="1" applyAlignment="1">
      <alignment horizontal="left" wrapText="1"/>
    </xf>
    <xf numFmtId="0" fontId="2" fillId="33" borderId="19" xfId="0" applyFont="1" applyFill="1" applyBorder="1" applyAlignment="1" applyProtection="1">
      <alignment horizontal="left" wrapText="1"/>
      <protection locked="0"/>
    </xf>
    <xf numFmtId="0" fontId="2" fillId="33" borderId="20" xfId="0" applyFont="1" applyFill="1" applyBorder="1" applyAlignment="1" applyProtection="1">
      <alignment horizontal="left" wrapText="1"/>
      <protection locked="0"/>
    </xf>
    <xf numFmtId="0" fontId="8" fillId="37" borderId="25" xfId="0" applyFont="1" applyFill="1" applyBorder="1" applyAlignment="1">
      <alignment horizontal="left" vertical="center" wrapText="1" indent="1"/>
    </xf>
    <xf numFmtId="0" fontId="8" fillId="37" borderId="27" xfId="0" applyFont="1" applyFill="1" applyBorder="1" applyAlignment="1">
      <alignment horizontal="left" vertical="center" wrapText="1" indent="1"/>
    </xf>
    <xf numFmtId="0" fontId="8" fillId="37" borderId="26" xfId="0" applyFont="1" applyFill="1" applyBorder="1" applyAlignment="1">
      <alignment horizontal="left" vertical="center" wrapText="1" indent="1"/>
    </xf>
    <xf numFmtId="0" fontId="0" fillId="0" borderId="13" xfId="0" applyBorder="1" applyAlignment="1">
      <alignment horizontal="left" vertical="center" indent="1"/>
    </xf>
    <xf numFmtId="0" fontId="0" fillId="0" borderId="28" xfId="0" applyBorder="1" applyAlignment="1">
      <alignment horizontal="left" vertical="center" indent="1"/>
    </xf>
    <xf numFmtId="0" fontId="0" fillId="0" borderId="24" xfId="0" applyBorder="1" applyAlignment="1">
      <alignment horizontal="left" vertical="center" indent="1"/>
    </xf>
    <xf numFmtId="0" fontId="8" fillId="37" borderId="18" xfId="0" applyFont="1" applyFill="1" applyBorder="1" applyAlignment="1">
      <alignment horizontal="left" vertical="center" wrapText="1" indent="1"/>
    </xf>
    <xf numFmtId="0" fontId="8" fillId="37" borderId="19" xfId="0" applyFont="1" applyFill="1" applyBorder="1" applyAlignment="1">
      <alignment horizontal="left" vertical="center" wrapText="1" indent="1"/>
    </xf>
    <xf numFmtId="0" fontId="8" fillId="37" borderId="20" xfId="0" applyFont="1" applyFill="1" applyBorder="1" applyAlignment="1">
      <alignment horizontal="left" vertical="center" wrapText="1" indent="1"/>
    </xf>
    <xf numFmtId="0" fontId="0" fillId="0" borderId="27" xfId="0" applyBorder="1" applyAlignment="1">
      <alignment vertical="center"/>
    </xf>
    <xf numFmtId="0" fontId="0" fillId="0" borderId="2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37" borderId="10" xfId="0" applyFill="1" applyBorder="1" applyAlignment="1">
      <alignment horizontal="left" indent="1"/>
    </xf>
    <xf numFmtId="0" fontId="8" fillId="37" borderId="10" xfId="0" applyFont="1" applyFill="1" applyBorder="1" applyAlignment="1">
      <alignment horizontal="left" indent="1"/>
    </xf>
    <xf numFmtId="0" fontId="8" fillId="37" borderId="10" xfId="0" applyFont="1" applyFill="1" applyBorder="1" applyAlignment="1">
      <alignment horizontal="left" vertical="center" indent="1"/>
    </xf>
    <xf numFmtId="0" fontId="0" fillId="0" borderId="10" xfId="0" applyBorder="1" applyAlignment="1">
      <alignment vertical="center"/>
    </xf>
    <xf numFmtId="185" fontId="1" fillId="33" borderId="18" xfId="0" applyNumberFormat="1" applyFont="1" applyFill="1" applyBorder="1" applyAlignment="1">
      <alignment horizontal="left"/>
    </xf>
    <xf numFmtId="185" fontId="1" fillId="33" borderId="20" xfId="0" applyNumberFormat="1" applyFont="1" applyFill="1" applyBorder="1" applyAlignment="1">
      <alignment horizontal="left"/>
    </xf>
    <xf numFmtId="0" fontId="8" fillId="37" borderId="22" xfId="0" applyFont="1" applyFill="1" applyBorder="1" applyAlignment="1">
      <alignment horizontal="left" vertical="center" wrapText="1" indent="1"/>
    </xf>
    <xf numFmtId="0" fontId="8" fillId="37" borderId="0" xfId="0" applyFont="1" applyFill="1" applyBorder="1" applyAlignment="1">
      <alignment horizontal="left" vertical="center" wrapText="1" indent="1"/>
    </xf>
    <xf numFmtId="0" fontId="8" fillId="37" borderId="23" xfId="0" applyFont="1" applyFill="1" applyBorder="1" applyAlignment="1">
      <alignment horizontal="left" vertical="center" wrapText="1" indent="1"/>
    </xf>
    <xf numFmtId="0" fontId="8" fillId="37" borderId="13" xfId="0" applyFont="1" applyFill="1" applyBorder="1" applyAlignment="1">
      <alignment horizontal="left" vertical="center" wrapText="1" indent="1"/>
    </xf>
    <xf numFmtId="0" fontId="8" fillId="37" borderId="28" xfId="0" applyFont="1" applyFill="1" applyBorder="1" applyAlignment="1">
      <alignment horizontal="left" vertical="center" wrapText="1" indent="1"/>
    </xf>
    <xf numFmtId="0" fontId="8" fillId="37" borderId="24" xfId="0" applyFont="1" applyFill="1" applyBorder="1" applyAlignment="1">
      <alignment horizontal="left" vertical="center" wrapText="1" indent="1"/>
    </xf>
    <xf numFmtId="0" fontId="8" fillId="37" borderId="18" xfId="0" applyFont="1" applyFill="1" applyBorder="1" applyAlignment="1">
      <alignment horizontal="left" indent="1"/>
    </xf>
    <xf numFmtId="0" fontId="8" fillId="37" borderId="19" xfId="0" applyFont="1" applyFill="1" applyBorder="1" applyAlignment="1">
      <alignment horizontal="left" indent="1"/>
    </xf>
    <xf numFmtId="0" fontId="8" fillId="37" borderId="20" xfId="0" applyFont="1" applyFill="1" applyBorder="1" applyAlignment="1">
      <alignment horizontal="left" indent="1"/>
    </xf>
    <xf numFmtId="0" fontId="1" fillId="33" borderId="18" xfId="0" applyFont="1" applyFill="1" applyBorder="1" applyAlignment="1">
      <alignment horizontal="left"/>
    </xf>
    <xf numFmtId="0" fontId="1" fillId="33" borderId="19" xfId="0" applyFont="1" applyFill="1" applyBorder="1" applyAlignment="1">
      <alignment horizontal="left"/>
    </xf>
    <xf numFmtId="0" fontId="1" fillId="33" borderId="20" xfId="0" applyFont="1" applyFill="1" applyBorder="1" applyAlignment="1">
      <alignment horizontal="left"/>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Continuous"/>
    </xf>
    <xf numFmtId="0" fontId="9" fillId="0" borderId="0" xfId="0" applyFont="1" applyFill="1" applyAlignment="1">
      <alignment horizontal="centerContinuous" vertical="top"/>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3" xfId="65"/>
    <cellStyle name="Note" xfId="66"/>
    <cellStyle name="Output" xfId="67"/>
    <cellStyle name="Percent" xfId="68"/>
    <cellStyle name="Percent 2" xfId="69"/>
    <cellStyle name="Percent 3" xfId="70"/>
    <cellStyle name="Percent 4"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0" i="0" u="none" baseline="0">
                <a:solidFill>
                  <a:srgbClr val="000000"/>
                </a:solidFill>
                <a:latin typeface="Arial"/>
                <a:ea typeface="Arial"/>
                <a:cs typeface="Arial"/>
              </a:rPr>
              <a:t>Figure 1
Storage Adjustment Curve</a:t>
            </a:r>
          </a:p>
        </c:rich>
      </c:tx>
      <c:layout>
        <c:manualLayout>
          <c:xMode val="factor"/>
          <c:yMode val="factor"/>
          <c:x val="-0.0005"/>
          <c:y val="-0.001"/>
        </c:manualLayout>
      </c:layout>
      <c:spPr>
        <a:noFill/>
        <a:ln>
          <a:noFill/>
        </a:ln>
      </c:spPr>
    </c:title>
    <c:plotArea>
      <c:layout>
        <c:manualLayout>
          <c:xMode val="edge"/>
          <c:yMode val="edge"/>
          <c:x val="0.157"/>
          <c:y val="0.336"/>
          <c:w val="0.752"/>
          <c:h val="0.505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'SAC-1'!$B$34:$B$35</c:f>
              <c:numCache/>
            </c:numRef>
          </c:xVal>
          <c:yVal>
            <c:numRef>
              <c:f>'SAC-1'!$C$34:$C$35</c:f>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80"/>
                </a:solidFill>
              </a:ln>
            </c:spPr>
            <c:trendlineType val="poly"/>
            <c:order val="2"/>
            <c:dispEq val="1"/>
            <c:dispRSqr val="1"/>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 = -0.1x</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+ 1.62x - 0.936
</a:t>
                    </a: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 1
</a:t>
                    </a:r>
                    <a:r>
                      <a:rPr lang="en-US" cap="none" sz="800" b="0" i="0" u="none" baseline="0">
                        <a:solidFill>
                          <a:srgbClr val="000000"/>
                        </a:solidFill>
                        <a:latin typeface="Arial"/>
                        <a:ea typeface="Arial"/>
                        <a:cs typeface="Arial"/>
                      </a:rPr>
                      <a:t>Adjusted Storage Max=5.625 inches
</a:t>
                    </a:r>
                    <a:r>
                      <a:rPr lang="en-US" cap="none" sz="800" b="0" i="0" u="none" baseline="0">
                        <a:solidFill>
                          <a:srgbClr val="000000"/>
                        </a:solidFill>
                        <a:latin typeface="Arial"/>
                        <a:ea typeface="Arial"/>
                        <a:cs typeface="Arial"/>
                      </a:rPr>
                      <a:t>Storage=8.10 inches</a:t>
                    </a:r>
                  </a:p>
                </c:rich>
              </c:tx>
              <c:numFmt formatCode="General"/>
            </c:trendlineLbl>
          </c:trendline>
          <c:xVal>
            <c:numRef>
              <c:f>'SAC-1'!$B$35:$B$40</c:f>
              <c:numCache/>
            </c:numRef>
          </c:xVal>
          <c:yVal>
            <c:numRef>
              <c:f>'SAC-1'!$C$35:$C$40</c:f>
              <c:numCache/>
            </c:numRef>
          </c:yVal>
          <c:smooth val="1"/>
        </c:ser>
        <c:ser>
          <c:idx val="2"/>
          <c:order val="2"/>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'SAC-1'!$G$34:$G$35</c:f>
              <c:numCache/>
            </c:numRef>
          </c:xVal>
          <c:yVal>
            <c:numRef>
              <c:f>'SAC-1'!$H$34:$H$35</c:f>
              <c:numCache/>
            </c:numRef>
          </c:yVal>
          <c:smooth val="1"/>
        </c:ser>
        <c:ser>
          <c:idx val="3"/>
          <c:order val="3"/>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'SAC-1'!$G$37:$G$38</c:f>
              <c:numCache/>
            </c:numRef>
          </c:xVal>
          <c:yVal>
            <c:numRef>
              <c:f>'SAC-1'!$H$37:$H$38</c:f>
              <c:numCache/>
            </c:numRef>
          </c:yVal>
          <c:smooth val="1"/>
        </c:ser>
        <c:ser>
          <c:idx val="4"/>
          <c:order val="4"/>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'SAC-1'!$G$40:$G$41</c:f>
              <c:numCache/>
            </c:numRef>
          </c:xVal>
          <c:yVal>
            <c:numRef>
              <c:f>'SAC-1'!$H$40:$H$41</c:f>
              <c:numCache/>
            </c:numRef>
          </c:yVal>
          <c:smooth val="1"/>
        </c:ser>
        <c:axId val="21486683"/>
        <c:axId val="65052376"/>
      </c:scatterChart>
      <c:valAx>
        <c:axId val="21486683"/>
        <c:scaling>
          <c:orientation val="minMax"/>
          <c:max val="10"/>
          <c:min val="0"/>
        </c:scaling>
        <c:axPos val="b"/>
        <c:title>
          <c:tx>
            <c:rich>
              <a:bodyPr vert="horz" rot="0" anchor="ctr"/>
              <a:lstStyle/>
              <a:p>
                <a:pPr algn="ctr">
                  <a:defRPr/>
                </a:pPr>
                <a:r>
                  <a:rPr lang="en-US" cap="none" sz="800" b="0" i="0" u="none" baseline="0">
                    <a:solidFill>
                      <a:srgbClr val="000000"/>
                    </a:solidFill>
                    <a:latin typeface="Arial"/>
                    <a:ea typeface="Arial"/>
                    <a:cs typeface="Arial"/>
                  </a:rPr>
                  <a:t>Total Storage (inches of Runoff)</a:t>
                </a:r>
              </a:p>
            </c:rich>
          </c:tx>
          <c:layout>
            <c:manualLayout>
              <c:xMode val="factor"/>
              <c:yMode val="factor"/>
              <c:x val="-0.01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52376"/>
        <c:crossesAt val="0"/>
        <c:crossBetween val="midCat"/>
        <c:dispUnits/>
        <c:majorUnit val="1"/>
        <c:minorUnit val="0.5"/>
      </c:valAx>
      <c:valAx>
        <c:axId val="65052376"/>
        <c:scaling>
          <c:orientation val="minMax"/>
          <c:max val="7"/>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Adjusted Storage (S) (inches of runoff)</a:t>
                </a:r>
              </a:p>
            </c:rich>
          </c:tx>
          <c:layout>
            <c:manualLayout>
              <c:xMode val="factor"/>
              <c:yMode val="factor"/>
              <c:x val="-0.01075"/>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86683"/>
        <c:crosses val="autoZero"/>
        <c:crossBetween val="midCat"/>
        <c:dispUnits/>
        <c:majorUnit val="1"/>
        <c:minorUnit val="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Relative Value of Detention Time</a:t>
            </a:r>
          </a:p>
        </c:rich>
      </c:tx>
      <c:layout>
        <c:manualLayout>
          <c:xMode val="factor"/>
          <c:yMode val="factor"/>
          <c:x val="-0.07925"/>
          <c:y val="0"/>
        </c:manualLayout>
      </c:layout>
      <c:spPr>
        <a:noFill/>
        <a:ln>
          <a:noFill/>
        </a:ln>
      </c:spPr>
    </c:title>
    <c:plotArea>
      <c:layout>
        <c:manualLayout>
          <c:xMode val="edge"/>
          <c:yMode val="edge"/>
          <c:x val="0.0385"/>
          <c:y val="0.09925"/>
          <c:w val="0.953"/>
          <c:h val="0.81125"/>
        </c:manualLayout>
      </c:layout>
      <c:scatterChart>
        <c:scatterStyle val="smoothMarker"/>
        <c:varyColors val="0"/>
        <c:ser>
          <c:idx val="3"/>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'DT-Tables'!$A$31:$A$32</c:f>
              <c:numCache>
                <c:ptCount val="2"/>
                <c:pt idx="0">
                  <c:v>3.5</c:v>
                </c:pt>
                <c:pt idx="1">
                  <c:v>3.5</c:v>
                </c:pt>
              </c:numCache>
            </c:numRef>
          </c:xVal>
          <c:yVal>
            <c:numRef>
              <c:f>'DT-Tables'!$B$31:$B$32</c:f>
              <c:numCache>
                <c:ptCount val="2"/>
                <c:pt idx="0">
                  <c:v>2.0434782608695654</c:v>
                </c:pt>
                <c:pt idx="1">
                  <c:v>35</c:v>
                </c:pt>
              </c:numCache>
            </c:numRef>
          </c:yVal>
          <c:smooth val="1"/>
        </c:ser>
        <c:ser>
          <c:idx val="4"/>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'DT-Tables'!$A$34:$A$35</c:f>
              <c:numCache>
                <c:ptCount val="2"/>
                <c:pt idx="0">
                  <c:v>25.5</c:v>
                </c:pt>
                <c:pt idx="1">
                  <c:v>25.5</c:v>
                </c:pt>
              </c:numCache>
            </c:numRef>
          </c:xVal>
          <c:yVal>
            <c:numRef>
              <c:f>'DT-Tables'!$B$34:$B$35</c:f>
              <c:numCache>
                <c:ptCount val="2"/>
                <c:pt idx="0">
                  <c:v>24.666666666666668</c:v>
                </c:pt>
                <c:pt idx="1">
                  <c:v>35</c:v>
                </c:pt>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'DT-Tables'!$A$6:$A$25</c:f>
              <c:numCache>
                <c:ptCount val="20"/>
                <c:pt idx="0">
                  <c:v>-100</c:v>
                </c:pt>
                <c:pt idx="1">
                  <c:v>-10.4</c:v>
                </c:pt>
                <c:pt idx="2">
                  <c:v>-10</c:v>
                </c:pt>
                <c:pt idx="3">
                  <c:v>-8.7</c:v>
                </c:pt>
                <c:pt idx="4">
                  <c:v>-6.1</c:v>
                </c:pt>
                <c:pt idx="5">
                  <c:v>-5</c:v>
                </c:pt>
                <c:pt idx="6">
                  <c:v>-4.7</c:v>
                </c:pt>
                <c:pt idx="7">
                  <c:v>-2.3</c:v>
                </c:pt>
                <c:pt idx="8">
                  <c:v>0</c:v>
                </c:pt>
                <c:pt idx="9">
                  <c:v>2.3</c:v>
                </c:pt>
                <c:pt idx="10">
                  <c:v>4.6</c:v>
                </c:pt>
                <c:pt idx="11">
                  <c:v>6.6</c:v>
                </c:pt>
                <c:pt idx="12">
                  <c:v>10.8</c:v>
                </c:pt>
                <c:pt idx="13">
                  <c:v>14.9</c:v>
                </c:pt>
                <c:pt idx="14">
                  <c:v>19.5</c:v>
                </c:pt>
                <c:pt idx="15">
                  <c:v>23</c:v>
                </c:pt>
                <c:pt idx="16">
                  <c:v>26</c:v>
                </c:pt>
                <c:pt idx="17">
                  <c:v>30.8</c:v>
                </c:pt>
                <c:pt idx="18">
                  <c:v>35</c:v>
                </c:pt>
                <c:pt idx="19">
                  <c:v>100</c:v>
                </c:pt>
              </c:numCache>
            </c:numRef>
          </c:xVal>
          <c:yVal>
            <c:numRef>
              <c:f>'DT-Tables'!$B$6:$B$25</c:f>
              <c:numCache>
                <c:ptCount val="20"/>
                <c:pt idx="0">
                  <c:v>13.5</c:v>
                </c:pt>
                <c:pt idx="1">
                  <c:v>15</c:v>
                </c:pt>
                <c:pt idx="2">
                  <c:v>13.5</c:v>
                </c:pt>
                <c:pt idx="3">
                  <c:v>10</c:v>
                </c:pt>
                <c:pt idx="4">
                  <c:v>5</c:v>
                </c:pt>
                <c:pt idx="5">
                  <c:v>3.3</c:v>
                </c:pt>
                <c:pt idx="6">
                  <c:v>3</c:v>
                </c:pt>
                <c:pt idx="7">
                  <c:v>1</c:v>
                </c:pt>
                <c:pt idx="8">
                  <c:v>0</c:v>
                </c:pt>
                <c:pt idx="9">
                  <c:v>1</c:v>
                </c:pt>
                <c:pt idx="10">
                  <c:v>3</c:v>
                </c:pt>
                <c:pt idx="11">
                  <c:v>5</c:v>
                </c:pt>
                <c:pt idx="12">
                  <c:v>10</c:v>
                </c:pt>
                <c:pt idx="13">
                  <c:v>14.9</c:v>
                </c:pt>
                <c:pt idx="14">
                  <c:v>19.5</c:v>
                </c:pt>
                <c:pt idx="15">
                  <c:v>23</c:v>
                </c:pt>
                <c:pt idx="16">
                  <c:v>25</c:v>
                </c:pt>
                <c:pt idx="17">
                  <c:v>27</c:v>
                </c:pt>
                <c:pt idx="18">
                  <c:v>28</c:v>
                </c:pt>
                <c:pt idx="19">
                  <c:v>28</c:v>
                </c:pt>
              </c:numCache>
            </c:numRef>
          </c:yVal>
          <c:smooth val="1"/>
        </c:ser>
        <c:ser>
          <c:idx val="6"/>
          <c:order val="3"/>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'DT-Tables'!$A$52:$A$59</c:f>
              <c:numCache>
                <c:ptCount val="8"/>
                <c:pt idx="0">
                  <c:v>3.5</c:v>
                </c:pt>
                <c:pt idx="1">
                  <c:v>3.5</c:v>
                </c:pt>
                <c:pt idx="2">
                  <c:v>3.5</c:v>
                </c:pt>
                <c:pt idx="3">
                  <c:v>3.5</c:v>
                </c:pt>
                <c:pt idx="4">
                  <c:v>25.4</c:v>
                </c:pt>
                <c:pt idx="5">
                  <c:v>24.4</c:v>
                </c:pt>
                <c:pt idx="6">
                  <c:v>25.4</c:v>
                </c:pt>
                <c:pt idx="7">
                  <c:v>24.4</c:v>
                </c:pt>
              </c:numCache>
            </c:numRef>
          </c:xVal>
          <c:yVal>
            <c:numRef>
              <c:f>'DT-Tables'!$B$52:$B$59</c:f>
              <c:numCache>
                <c:ptCount val="8"/>
                <c:pt idx="0">
                  <c:v>32.1</c:v>
                </c:pt>
                <c:pt idx="1">
                  <c:v>32.5</c:v>
                </c:pt>
                <c:pt idx="2">
                  <c:v>32.9</c:v>
                </c:pt>
                <c:pt idx="3">
                  <c:v>32.5</c:v>
                </c:pt>
                <c:pt idx="4">
                  <c:v>32.5</c:v>
                </c:pt>
                <c:pt idx="5">
                  <c:v>32.1</c:v>
                </c:pt>
                <c:pt idx="6">
                  <c:v>32.5</c:v>
                </c:pt>
                <c:pt idx="7">
                  <c:v>32.9</c:v>
                </c:pt>
              </c:numCache>
            </c:numRef>
          </c:yVal>
          <c:smooth val="1"/>
        </c:ser>
        <c:ser>
          <c:idx val="0"/>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'DT-Tables'!$A$73:$A$74</c:f>
              <c:numCache>
                <c:ptCount val="2"/>
                <c:pt idx="0">
                  <c:v>-9.9</c:v>
                </c:pt>
                <c:pt idx="1">
                  <c:v>3.5</c:v>
                </c:pt>
              </c:numCache>
            </c:numRef>
          </c:xVal>
          <c:yVal>
            <c:numRef>
              <c:f>'DT-Tables'!$B$73:$B$74</c:f>
              <c:numCache>
                <c:ptCount val="2"/>
                <c:pt idx="0">
                  <c:v>2.04</c:v>
                </c:pt>
                <c:pt idx="1">
                  <c:v>2.04</c:v>
                </c:pt>
              </c:numCache>
            </c:numRef>
          </c:yVal>
          <c:smooth val="1"/>
        </c:ser>
        <c:ser>
          <c:idx val="1"/>
          <c:order val="5"/>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'DT-Tables'!$A$76:$A$77</c:f>
              <c:numCache>
                <c:ptCount val="2"/>
                <c:pt idx="0">
                  <c:v>-9.95</c:v>
                </c:pt>
                <c:pt idx="1">
                  <c:v>25.5</c:v>
                </c:pt>
              </c:numCache>
            </c:numRef>
          </c:xVal>
          <c:yVal>
            <c:numRef>
              <c:f>'DT-Tables'!$B$76:$B$77</c:f>
              <c:numCache>
                <c:ptCount val="2"/>
                <c:pt idx="0">
                  <c:v>24.9</c:v>
                </c:pt>
                <c:pt idx="1">
                  <c:v>24.9</c:v>
                </c:pt>
              </c:numCache>
            </c:numRef>
          </c:yVal>
          <c:smooth val="1"/>
        </c:ser>
        <c:ser>
          <c:idx val="8"/>
          <c:order val="6"/>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'DT-Tables'!$A$82:$A$89</c:f>
              <c:numCache>
                <c:ptCount val="8"/>
                <c:pt idx="0">
                  <c:v>-6.7</c:v>
                </c:pt>
                <c:pt idx="1">
                  <c:v>-7</c:v>
                </c:pt>
                <c:pt idx="2">
                  <c:v>-7.3</c:v>
                </c:pt>
                <c:pt idx="3">
                  <c:v>-7</c:v>
                </c:pt>
                <c:pt idx="4">
                  <c:v>-7</c:v>
                </c:pt>
                <c:pt idx="5">
                  <c:v>-7.3</c:v>
                </c:pt>
                <c:pt idx="6">
                  <c:v>-7</c:v>
                </c:pt>
                <c:pt idx="7">
                  <c:v>-6.7</c:v>
                </c:pt>
              </c:numCache>
            </c:numRef>
          </c:xVal>
          <c:yVal>
            <c:numRef>
              <c:f>'DT-Tables'!$B$82:$B$89</c:f>
              <c:numCache>
                <c:ptCount val="8"/>
                <c:pt idx="0">
                  <c:v>3.4400000000000004</c:v>
                </c:pt>
                <c:pt idx="1">
                  <c:v>2.14</c:v>
                </c:pt>
                <c:pt idx="2">
                  <c:v>3.4400000000000004</c:v>
                </c:pt>
                <c:pt idx="3">
                  <c:v>2.14</c:v>
                </c:pt>
                <c:pt idx="4">
                  <c:v>24.799999999999997</c:v>
                </c:pt>
                <c:pt idx="5">
                  <c:v>23.499999999999996</c:v>
                </c:pt>
                <c:pt idx="6">
                  <c:v>24.799999999999997</c:v>
                </c:pt>
                <c:pt idx="7">
                  <c:v>23.499999999999996</c:v>
                </c:pt>
              </c:numCache>
            </c:numRef>
          </c:yVal>
          <c:smooth val="1"/>
        </c:ser>
        <c:axId val="25223865"/>
        <c:axId val="61796430"/>
      </c:scatterChart>
      <c:valAx>
        <c:axId val="25223865"/>
        <c:scaling>
          <c:orientation val="minMax"/>
          <c:max val="34"/>
          <c:min val="-10"/>
        </c:scaling>
        <c:axPos val="t"/>
        <c:title>
          <c:tx>
            <c:rich>
              <a:bodyPr vert="horz" rot="0" anchor="ctr"/>
              <a:lstStyle/>
              <a:p>
                <a:pPr algn="ctr">
                  <a:defRPr/>
                </a:pPr>
                <a:r>
                  <a:rPr lang="en-US" cap="none" sz="1100" b="1" i="0" u="none" baseline="0">
                    <a:solidFill>
                      <a:srgbClr val="000000"/>
                    </a:solidFill>
                    <a:latin typeface="Arial"/>
                    <a:ea typeface="Arial"/>
                    <a:cs typeface="Arial"/>
                  </a:rPr>
                  <a:t>Average Time Interval (days)
(Between the Project Watershed Routed Hydrograph Peak &amp; Red River Hydrograph)</a:t>
                </a:r>
              </a:p>
            </c:rich>
          </c:tx>
          <c:layout>
            <c:manualLayout>
              <c:xMode val="factor"/>
              <c:yMode val="factor"/>
              <c:x val="-0.0065"/>
              <c:y val="-0.05325"/>
            </c:manualLayout>
          </c:layout>
          <c:overlay val="0"/>
          <c:spPr>
            <a:noFill/>
            <a:ln>
              <a:noFill/>
            </a:ln>
          </c:spPr>
        </c:title>
        <c:majorGridlines>
          <c:spPr>
            <a:ln w="3175">
              <a:solidFill>
                <a:srgbClr val="000000"/>
              </a:solidFill>
            </a:ln>
          </c:spPr>
        </c:majorGridlines>
        <c:delete val="0"/>
        <c:numFmt formatCode="@" sourceLinked="0"/>
        <c:majorTickMark val="out"/>
        <c:minorTickMark val="out"/>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96430"/>
        <c:crosses val="max"/>
        <c:crossBetween val="midCat"/>
        <c:dispUnits/>
        <c:majorUnit val="5"/>
        <c:minorUnit val="1"/>
      </c:valAx>
      <c:valAx>
        <c:axId val="61796430"/>
        <c:scaling>
          <c:orientation val="maxMin"/>
          <c:max val="35"/>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Adjusted Value of Average Time Interval (days)</a:t>
                </a:r>
              </a:p>
            </c:rich>
          </c:tx>
          <c:layout>
            <c:manualLayout>
              <c:xMode val="factor"/>
              <c:yMode val="factor"/>
              <c:x val="-0.01"/>
              <c:y val="0.056"/>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223865"/>
        <c:crossesAt val="-20"/>
        <c:crossBetween val="midCat"/>
        <c:dispUnits/>
        <c:majorUnit val="5"/>
        <c:minorUnit val="1"/>
      </c:valAx>
      <c:spPr>
        <a:noFill/>
        <a:ln w="254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9</xdr:col>
      <xdr:colOff>66675</xdr:colOff>
      <xdr:row>29</xdr:row>
      <xdr:rowOff>38100</xdr:rowOff>
    </xdr:to>
    <xdr:graphicFrame>
      <xdr:nvGraphicFramePr>
        <xdr:cNvPr id="1" name="Chart 1"/>
        <xdr:cNvGraphicFramePr/>
      </xdr:nvGraphicFramePr>
      <xdr:xfrm>
        <a:off x="0" y="647700"/>
        <a:ext cx="5553075" cy="4086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0.76925</cdr:x>
      <cdr:y>0.6535</cdr:y>
    </cdr:from>
    <cdr:to>
      <cdr:x>0.803</cdr:x>
      <cdr:y>0.8245</cdr:y>
    </cdr:to>
    <cdr:sp>
      <cdr:nvSpPr>
        <cdr:cNvPr id="1" name="Text Box 1"/>
        <cdr:cNvSpPr txBox="1">
          <a:spLocks noChangeArrowheads="1"/>
        </cdr:cNvSpPr>
      </cdr:nvSpPr>
      <cdr:spPr>
        <a:xfrm>
          <a:off x="15840075" y="9163050"/>
          <a:ext cx="695325" cy="2400300"/>
        </a:xfrm>
        <a:prstGeom prst="rect">
          <a:avLst/>
        </a:prstGeom>
        <a:noFill/>
        <a:ln w="9525" cmpd="sng">
          <a:noFill/>
        </a:ln>
      </cdr:spPr>
      <cdr:txBody>
        <a:bodyPr vertOverflow="clip" wrap="square" lIns="54864" tIns="41148" rIns="0" bIns="41148" anchor="ctr" vert="vert270"/>
        <a:p>
          <a:pPr algn="l">
            <a:defRPr/>
          </a:pPr>
          <a:r>
            <a:rPr lang="en-US" cap="none" sz="1000" b="1" i="0" u="none" baseline="0">
              <a:solidFill>
                <a:srgbClr val="000000"/>
              </a:solidFill>
              <a:latin typeface="Arial"/>
              <a:ea typeface="Arial"/>
              <a:cs typeface="Arial"/>
            </a:rPr>
            <a:t>Post Project</a:t>
          </a:r>
        </a:p>
      </cdr:txBody>
    </cdr:sp>
  </cdr:relSizeAnchor>
  <cdr:relSizeAnchor xmlns:cdr="http://schemas.openxmlformats.org/drawingml/2006/chartDrawing">
    <cdr:from>
      <cdr:x>0.29975</cdr:x>
      <cdr:y>0.57025</cdr:y>
    </cdr:from>
    <cdr:to>
      <cdr:x>0.3465</cdr:x>
      <cdr:y>0.92825</cdr:y>
    </cdr:to>
    <cdr:sp>
      <cdr:nvSpPr>
        <cdr:cNvPr id="2" name="Text Box 2"/>
        <cdr:cNvSpPr txBox="1">
          <a:spLocks noChangeArrowheads="1"/>
        </cdr:cNvSpPr>
      </cdr:nvSpPr>
      <cdr:spPr>
        <a:xfrm>
          <a:off x="6172200" y="7991475"/>
          <a:ext cx="962025" cy="5019675"/>
        </a:xfrm>
        <a:prstGeom prst="rect">
          <a:avLst/>
        </a:prstGeom>
        <a:noFill/>
        <a:ln w="9525" cmpd="sng">
          <a:noFill/>
        </a:ln>
      </cdr:spPr>
      <cdr:txBody>
        <a:bodyPr vertOverflow="clip" wrap="square" lIns="54864" tIns="41148" rIns="54864" bIns="41148" anchor="ctr" vert="vert270"/>
        <a:p>
          <a:pPr algn="ctr">
            <a:defRPr/>
          </a:pPr>
          <a:r>
            <a:rPr lang="en-US" cap="none" sz="1000" b="1" i="0" u="none" baseline="0">
              <a:solidFill>
                <a:srgbClr val="000000"/>
              </a:solidFill>
              <a:latin typeface="Arial"/>
              <a:ea typeface="Arial"/>
              <a:cs typeface="Arial"/>
            </a:rPr>
            <a:t>Pre-Project</a:t>
          </a:r>
        </a:p>
      </cdr:txBody>
    </cdr:sp>
  </cdr:relSizeAnchor>
  <cdr:relSizeAnchor xmlns:cdr="http://schemas.openxmlformats.org/drawingml/2006/chartDrawing">
    <cdr:from>
      <cdr:x>0.474</cdr:x>
      <cdr:y>0.79</cdr:y>
    </cdr:from>
    <cdr:to>
      <cdr:x>0.69425</cdr:x>
      <cdr:y>0.82375</cdr:y>
    </cdr:to>
    <cdr:sp>
      <cdr:nvSpPr>
        <cdr:cNvPr id="3" name="Text Box 3"/>
        <cdr:cNvSpPr txBox="1">
          <a:spLocks noChangeArrowheads="1"/>
        </cdr:cNvSpPr>
      </cdr:nvSpPr>
      <cdr:spPr>
        <a:xfrm>
          <a:off x="9763125" y="11077575"/>
          <a:ext cx="4533900" cy="476250"/>
        </a:xfrm>
        <a:prstGeom prst="rect">
          <a:avLst/>
        </a:prstGeom>
        <a:noFill/>
        <a:ln w="9525" cmpd="sng">
          <a:noFill/>
        </a:ln>
      </cdr:spPr>
      <cdr:txBody>
        <a:bodyPr vertOverflow="clip" wrap="square" lIns="54864" tIns="41148" rIns="54864" bIns="0"/>
        <a:p>
          <a:pPr algn="ctr">
            <a:defRPr/>
          </a:pPr>
          <a:r>
            <a:rPr lang="en-US" cap="none" sz="1000" b="1" i="0" u="none" baseline="0">
              <a:solidFill>
                <a:srgbClr val="000000"/>
              </a:solidFill>
              <a:latin typeface="Arial"/>
              <a:ea typeface="Arial"/>
              <a:cs typeface="Arial"/>
            </a:rPr>
            <a:t>Project Detention Time</a:t>
          </a:r>
        </a:p>
      </cdr:txBody>
    </cdr:sp>
  </cdr:relSizeAnchor>
  <cdr:relSizeAnchor xmlns:cdr="http://schemas.openxmlformats.org/drawingml/2006/chartDrawing">
    <cdr:from>
      <cdr:x>0.06625</cdr:x>
      <cdr:y>0.25625</cdr:y>
    </cdr:from>
    <cdr:to>
      <cdr:x>0.16375</cdr:x>
      <cdr:y>0.6165</cdr:y>
    </cdr:to>
    <cdr:sp>
      <cdr:nvSpPr>
        <cdr:cNvPr id="4" name="Text Box 4"/>
        <cdr:cNvSpPr txBox="1">
          <a:spLocks noChangeArrowheads="1"/>
        </cdr:cNvSpPr>
      </cdr:nvSpPr>
      <cdr:spPr>
        <a:xfrm>
          <a:off x="1362075" y="3590925"/>
          <a:ext cx="2009775" cy="5057775"/>
        </a:xfrm>
        <a:prstGeom prst="rect">
          <a:avLst/>
        </a:prstGeom>
        <a:noFill/>
        <a:ln w="9525" cmpd="sng">
          <a:noFill/>
        </a:ln>
      </cdr:spPr>
      <cdr:txBody>
        <a:bodyPr vertOverflow="clip" wrap="square" lIns="64008" tIns="50292" rIns="64008" bIns="50292" anchor="ctr" vert="vert270"/>
        <a:p>
          <a:pPr algn="ctr">
            <a:defRPr/>
          </a:pPr>
          <a:r>
            <a:rPr lang="en-US" cap="none" sz="1200" b="1" i="0" u="none" baseline="0">
              <a:solidFill>
                <a:srgbClr val="000000"/>
              </a:solidFill>
              <a:latin typeface="Arial"/>
              <a:ea typeface="Arial"/>
              <a:cs typeface="Arial"/>
            </a:rPr>
            <a:t>Relative Value of
</a:t>
          </a:r>
          <a:r>
            <a:rPr lang="en-US" cap="none" sz="1200" b="1" i="0" u="none" baseline="0">
              <a:solidFill>
                <a:srgbClr val="000000"/>
              </a:solidFill>
              <a:latin typeface="Arial"/>
              <a:ea typeface="Arial"/>
              <a:cs typeface="Arial"/>
            </a:rPr>
            <a:t>Project Detention Time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20602575" cy="14030325"/>
    <xdr:graphicFrame>
      <xdr:nvGraphicFramePr>
        <xdr:cNvPr id="1" name="Shape 1025"/>
        <xdr:cNvGraphicFramePr/>
      </xdr:nvGraphicFramePr>
      <xdr:xfrm>
        <a:off x="0" y="0"/>
        <a:ext cx="20602575" cy="14030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usace.contentdm.oclc.org/digital/collection/p16021coll9/id/2550"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H53"/>
  <sheetViews>
    <sheetView showGridLines="0" tabSelected="1" zoomScale="110" zoomScaleNormal="110" zoomScalePageLayoutView="0" workbookViewId="0" topLeftCell="A1">
      <selection activeCell="I11" sqref="I11"/>
    </sheetView>
  </sheetViews>
  <sheetFormatPr defaultColWidth="8.8515625" defaultRowHeight="12.75"/>
  <cols>
    <col min="1" max="1" width="26.7109375" style="1" customWidth="1"/>
    <col min="2" max="4" width="10.7109375" style="1" customWidth="1"/>
    <col min="5" max="8" width="6.7109375" style="1" customWidth="1"/>
    <col min="9" max="16384" width="8.8515625" style="1" customWidth="1"/>
  </cols>
  <sheetData>
    <row r="2" spans="1:8" ht="12.75" customHeight="1">
      <c r="A2" s="109" t="s">
        <v>109</v>
      </c>
      <c r="B2" s="109"/>
      <c r="C2" s="109"/>
      <c r="D2" s="109"/>
      <c r="E2" s="110" t="s">
        <v>75</v>
      </c>
      <c r="F2" s="111"/>
      <c r="G2" s="111"/>
      <c r="H2" s="111"/>
    </row>
    <row r="3" spans="1:8" ht="12.75" customHeight="1">
      <c r="A3" s="109" t="s">
        <v>41</v>
      </c>
      <c r="B3" s="109"/>
      <c r="C3" s="109"/>
      <c r="D3" s="109"/>
      <c r="E3" s="111"/>
      <c r="F3" s="111"/>
      <c r="G3" s="111"/>
      <c r="H3" s="111"/>
    </row>
    <row r="4" spans="1:4" ht="12.75" customHeight="1">
      <c r="A4" s="154" t="s">
        <v>107</v>
      </c>
      <c r="B4" s="153"/>
      <c r="C4" s="153"/>
      <c r="D4" s="153"/>
    </row>
    <row r="5" spans="1:8" ht="12" customHeight="1">
      <c r="A5" s="10" t="s">
        <v>3</v>
      </c>
      <c r="B5" s="112"/>
      <c r="C5" s="113"/>
      <c r="D5" s="63"/>
      <c r="E5" s="110" t="s">
        <v>70</v>
      </c>
      <c r="F5" s="110"/>
      <c r="G5" s="110"/>
      <c r="H5" s="110"/>
    </row>
    <row r="6" spans="1:8" ht="12" customHeight="1">
      <c r="A6" s="10" t="s">
        <v>38</v>
      </c>
      <c r="B6" s="112"/>
      <c r="C6" s="114"/>
      <c r="D6" s="115"/>
      <c r="E6" s="110" t="s">
        <v>61</v>
      </c>
      <c r="F6" s="110"/>
      <c r="G6" s="110"/>
      <c r="H6" s="110"/>
    </row>
    <row r="7" spans="1:8" ht="12" customHeight="1">
      <c r="A7" s="10" t="s">
        <v>39</v>
      </c>
      <c r="B7" s="112"/>
      <c r="C7" s="114"/>
      <c r="D7" s="115"/>
      <c r="E7" s="110" t="s">
        <v>60</v>
      </c>
      <c r="F7" s="110"/>
      <c r="G7" s="110"/>
      <c r="H7" s="110"/>
    </row>
    <row r="8" spans="1:8" ht="9.75" customHeight="1">
      <c r="A8" s="10"/>
      <c r="B8" s="11"/>
      <c r="C8" s="11"/>
      <c r="D8" s="11"/>
      <c r="E8" s="47"/>
      <c r="F8" s="47"/>
      <c r="G8" s="47"/>
      <c r="H8" s="47"/>
    </row>
    <row r="9" spans="1:8" ht="12" customHeight="1">
      <c r="A9" s="10" t="s">
        <v>44</v>
      </c>
      <c r="B9" s="12"/>
      <c r="C9" s="9"/>
      <c r="D9" s="9"/>
      <c r="E9" s="116" t="s">
        <v>59</v>
      </c>
      <c r="F9" s="117"/>
      <c r="G9" s="117"/>
      <c r="H9" s="118"/>
    </row>
    <row r="10" spans="1:8" ht="12" customHeight="1">
      <c r="A10" s="10" t="s">
        <v>43</v>
      </c>
      <c r="B10" s="12"/>
      <c r="E10" s="119"/>
      <c r="F10" s="120"/>
      <c r="G10" s="120"/>
      <c r="H10" s="121"/>
    </row>
    <row r="11" spans="1:8" ht="32.25" customHeight="1">
      <c r="A11" s="10" t="s">
        <v>47</v>
      </c>
      <c r="B11" s="106"/>
      <c r="E11" s="122" t="s">
        <v>114</v>
      </c>
      <c r="F11" s="123"/>
      <c r="G11" s="123"/>
      <c r="H11" s="124"/>
    </row>
    <row r="12" spans="1:3" ht="9.75" customHeight="1">
      <c r="A12" s="10"/>
      <c r="B12" s="13"/>
      <c r="C12" s="14"/>
    </row>
    <row r="13" spans="1:8" ht="12" customHeight="1">
      <c r="A13" s="10" t="s">
        <v>6</v>
      </c>
      <c r="B13" s="55"/>
      <c r="C13" s="110" t="s">
        <v>64</v>
      </c>
      <c r="D13" s="110"/>
      <c r="E13" s="110"/>
      <c r="F13" s="110"/>
      <c r="G13" s="110"/>
      <c r="H13" s="110"/>
    </row>
    <row r="14" spans="1:2" ht="9.75" customHeight="1">
      <c r="A14" s="10"/>
      <c r="B14" s="15"/>
    </row>
    <row r="15" spans="1:8" ht="20.25" customHeight="1">
      <c r="A15" s="10" t="s">
        <v>4</v>
      </c>
      <c r="B15" s="8" t="s">
        <v>8</v>
      </c>
      <c r="C15" s="8" t="s">
        <v>7</v>
      </c>
      <c r="D15" s="80" t="s">
        <v>82</v>
      </c>
      <c r="E15" s="116" t="s">
        <v>103</v>
      </c>
      <c r="F15" s="125"/>
      <c r="G15" s="125"/>
      <c r="H15" s="126"/>
    </row>
    <row r="16" spans="1:8" ht="12" customHeight="1">
      <c r="A16" s="33" t="s">
        <v>5</v>
      </c>
      <c r="B16" s="16"/>
      <c r="C16" s="17" t="e">
        <f>B16/(640/12*$B$13)</f>
        <v>#DIV/0!</v>
      </c>
      <c r="D16" s="18" t="e">
        <f>IF(SUM($B16:B$19)-$C$22&lt;0,0,SUM($B16:B$19)-$C$22-SUM($D17:D$19))</f>
        <v>#DIV/0!</v>
      </c>
      <c r="E16" s="127"/>
      <c r="F16" s="128"/>
      <c r="G16" s="128"/>
      <c r="H16" s="129"/>
    </row>
    <row r="17" spans="1:8" ht="12" customHeight="1">
      <c r="A17" s="33" t="s">
        <v>45</v>
      </c>
      <c r="B17" s="16"/>
      <c r="C17" s="17" t="e">
        <f>B17/(640/12*$B$13)</f>
        <v>#DIV/0!</v>
      </c>
      <c r="D17" s="18" t="e">
        <f>IF(SUM($B17:$B$19)-$C$22&lt;0,0,SUM($B17:$B$19)-$C$22-SUM($D18:D$19))</f>
        <v>#DIV/0!</v>
      </c>
      <c r="E17" s="127"/>
      <c r="F17" s="128"/>
      <c r="G17" s="128"/>
      <c r="H17" s="129"/>
    </row>
    <row r="18" spans="1:8" ht="12" customHeight="1">
      <c r="A18" s="33" t="s">
        <v>46</v>
      </c>
      <c r="B18" s="16"/>
      <c r="C18" s="17" t="e">
        <f>B18/(640/12*$B$13)</f>
        <v>#DIV/0!</v>
      </c>
      <c r="D18" s="18" t="e">
        <f>IF(SUM($B18:B$19)-$C$22&lt;0,0,SUM($B18:B$19)-$C$22-SUM(D$19:$D19))</f>
        <v>#DIV/0!</v>
      </c>
      <c r="E18" s="127"/>
      <c r="F18" s="128"/>
      <c r="G18" s="128"/>
      <c r="H18" s="129"/>
    </row>
    <row r="19" spans="1:8" ht="12" customHeight="1" thickBot="1">
      <c r="A19" s="33" t="s">
        <v>68</v>
      </c>
      <c r="B19" s="19"/>
      <c r="C19" s="20" t="e">
        <f>B19/(640/12*$B$13)</f>
        <v>#DIV/0!</v>
      </c>
      <c r="D19" s="21" t="e">
        <f>IF(SUM($B19:B$19)-$C$22&lt;0,0,SUM($B19:B$19)-$C$22)</f>
        <v>#DIV/0!</v>
      </c>
      <c r="E19" s="127"/>
      <c r="F19" s="128"/>
      <c r="G19" s="128"/>
      <c r="H19" s="129"/>
    </row>
    <row r="20" spans="1:8" ht="12" customHeight="1" thickTop="1">
      <c r="A20" s="79" t="s">
        <v>81</v>
      </c>
      <c r="B20" s="24">
        <f>SUM(B16:B19)</f>
        <v>0</v>
      </c>
      <c r="C20" s="23" t="e">
        <f>MIN(SUM(C16:C19),8.1)</f>
        <v>#DIV/0!</v>
      </c>
      <c r="D20" s="24" t="e">
        <f>SUM(D16:D19)</f>
        <v>#DIV/0!</v>
      </c>
      <c r="E20" s="130"/>
      <c r="F20" s="131"/>
      <c r="G20" s="131"/>
      <c r="H20" s="132"/>
    </row>
    <row r="21" spans="1:8" ht="11.25" customHeight="1">
      <c r="A21" s="22"/>
      <c r="E21" s="46"/>
      <c r="F21" s="45"/>
      <c r="G21" s="45"/>
      <c r="H21" s="45"/>
    </row>
    <row r="22" spans="1:8" ht="11.25" customHeight="1">
      <c r="A22" s="33" t="s">
        <v>9</v>
      </c>
      <c r="B22" s="73" t="e">
        <f>IF($C$20&lt;3.6,$C$20,IF($C$20&lt;8.1,-0.1*$C$20*$C$20+1.62*$C$20-0.936,5.625))/$C$20</f>
        <v>#DIV/0!</v>
      </c>
      <c r="C22" s="25" t="e">
        <f>(1-$B$22)*$B$20</f>
        <v>#DIV/0!</v>
      </c>
      <c r="D22" s="74"/>
      <c r="E22" s="74"/>
      <c r="F22" s="74"/>
      <c r="G22" s="74"/>
      <c r="H22" s="74"/>
    </row>
    <row r="23" spans="5:8" ht="9.75" customHeight="1" thickBot="1">
      <c r="E23" s="44"/>
      <c r="F23" s="44"/>
      <c r="G23" s="44"/>
      <c r="H23" s="44"/>
    </row>
    <row r="24" spans="1:8" ht="12" customHeight="1" thickTop="1">
      <c r="A24" s="39" t="s">
        <v>40</v>
      </c>
      <c r="B24" s="60" t="s">
        <v>12</v>
      </c>
      <c r="C24" s="61" t="s">
        <v>69</v>
      </c>
      <c r="D24" s="61" t="s">
        <v>15</v>
      </c>
      <c r="E24" s="110" t="s">
        <v>87</v>
      </c>
      <c r="F24" s="110"/>
      <c r="G24" s="110"/>
      <c r="H24" s="110"/>
    </row>
    <row r="25" spans="1:8" ht="12" customHeight="1">
      <c r="A25" s="58" t="s">
        <v>11</v>
      </c>
      <c r="B25" s="40"/>
      <c r="C25" s="41"/>
      <c r="D25" s="34"/>
      <c r="E25" s="110"/>
      <c r="F25" s="110"/>
      <c r="G25" s="110"/>
      <c r="H25" s="110"/>
    </row>
    <row r="26" spans="1:8" ht="12" customHeight="1">
      <c r="A26" s="58" t="s">
        <v>13</v>
      </c>
      <c r="B26" s="35">
        <f>INT(B25/10+0.5)</f>
        <v>0</v>
      </c>
      <c r="C26" s="34"/>
      <c r="D26" s="51"/>
      <c r="E26" s="110"/>
      <c r="F26" s="110"/>
      <c r="G26" s="110"/>
      <c r="H26" s="110"/>
    </row>
    <row r="27" spans="1:8" ht="12" customHeight="1">
      <c r="A27" s="58" t="s">
        <v>14</v>
      </c>
      <c r="B27" s="36">
        <f>B25-B26</f>
        <v>0</v>
      </c>
      <c r="C27" s="37"/>
      <c r="D27" s="37"/>
      <c r="E27" s="133"/>
      <c r="F27" s="133"/>
      <c r="G27" s="133"/>
      <c r="H27" s="133"/>
    </row>
    <row r="28" spans="1:8" ht="12" customHeight="1">
      <c r="A28" s="48"/>
      <c r="B28" s="37" t="s">
        <v>16</v>
      </c>
      <c r="C28" s="37"/>
      <c r="D28" s="36">
        <f>INT(($D25+$D26)/2+0.5)</f>
        <v>0</v>
      </c>
      <c r="E28" s="133"/>
      <c r="F28" s="133"/>
      <c r="G28" s="133"/>
      <c r="H28" s="133"/>
    </row>
    <row r="29" spans="1:8" ht="12" customHeight="1">
      <c r="A29" s="49"/>
      <c r="B29" s="37" t="s">
        <v>17</v>
      </c>
      <c r="C29" s="37"/>
      <c r="D29" s="36">
        <f>INT(D28*86400/43560+0.5)</f>
        <v>0</v>
      </c>
      <c r="E29" s="133"/>
      <c r="F29" s="133"/>
      <c r="G29" s="133"/>
      <c r="H29" s="133"/>
    </row>
    <row r="30" spans="1:8" ht="12" customHeight="1" thickBot="1">
      <c r="A30" s="50"/>
      <c r="B30" s="38" t="s">
        <v>18</v>
      </c>
      <c r="C30" s="38"/>
      <c r="D30" s="62" t="str">
        <f>IF(D29,INT($B27/$D29/2*10+0.5)/10,"not applicable")</f>
        <v>not applicable</v>
      </c>
      <c r="E30" s="133"/>
      <c r="F30" s="133"/>
      <c r="G30" s="133"/>
      <c r="H30" s="133"/>
    </row>
    <row r="31" ht="9.75" customHeight="1" thickTop="1"/>
    <row r="32" spans="1:5" ht="12.75" customHeight="1">
      <c r="A32" s="26" t="s">
        <v>10</v>
      </c>
      <c r="B32" s="2"/>
      <c r="C32" s="2"/>
      <c r="D32" s="2"/>
      <c r="E32" s="2"/>
    </row>
    <row r="33" spans="1:8" ht="12" customHeight="1">
      <c r="A33" s="59" t="s">
        <v>66</v>
      </c>
      <c r="B33" s="70"/>
      <c r="C33" s="134" t="s">
        <v>62</v>
      </c>
      <c r="D33" s="134"/>
      <c r="E33" s="134"/>
      <c r="F33" s="134"/>
      <c r="G33" s="134"/>
      <c r="H33" s="134"/>
    </row>
    <row r="34" spans="1:8" ht="12" customHeight="1">
      <c r="A34" s="59" t="s">
        <v>67</v>
      </c>
      <c r="B34" s="70"/>
      <c r="C34" s="134" t="s">
        <v>63</v>
      </c>
      <c r="D34" s="134"/>
      <c r="E34" s="134"/>
      <c r="F34" s="134"/>
      <c r="G34" s="134"/>
      <c r="H34" s="134"/>
    </row>
    <row r="35" spans="1:8" ht="12" customHeight="1">
      <c r="A35" s="33" t="s">
        <v>52</v>
      </c>
      <c r="B35" s="70"/>
      <c r="C35" s="134" t="s">
        <v>83</v>
      </c>
      <c r="D35" s="134"/>
      <c r="E35" s="134"/>
      <c r="F35" s="134"/>
      <c r="G35" s="134"/>
      <c r="H35" s="134"/>
    </row>
    <row r="36" spans="1:8" ht="11.25" customHeight="1">
      <c r="A36" s="78" t="s">
        <v>88</v>
      </c>
      <c r="B36" s="70"/>
      <c r="C36" s="134" t="s">
        <v>84</v>
      </c>
      <c r="D36" s="134"/>
      <c r="E36" s="134"/>
      <c r="F36" s="134"/>
      <c r="G36" s="134"/>
      <c r="H36" s="134"/>
    </row>
    <row r="37" spans="1:5" ht="9.75" customHeight="1">
      <c r="A37" s="2"/>
      <c r="B37" s="2"/>
      <c r="C37" s="2"/>
      <c r="D37" s="2"/>
      <c r="E37" s="2"/>
    </row>
    <row r="38" spans="1:8" ht="42.75" customHeight="1">
      <c r="A38" s="56" t="s">
        <v>65</v>
      </c>
      <c r="B38" s="28"/>
      <c r="C38" s="42" t="s">
        <v>48</v>
      </c>
      <c r="D38" s="43">
        <f>IF($B$38&lt;0,0.0004*$B$38^4+0.0011*$B$38^3+0.0895*$B$38^2-0.2126*$B$38,0.00004*$B$38^4-0.0036*$B$38^3+0.0938*$B$38^2+0.2834*$B$38)</f>
        <v>0</v>
      </c>
      <c r="E38" s="110" t="s">
        <v>72</v>
      </c>
      <c r="F38" s="110"/>
      <c r="G38" s="110"/>
      <c r="H38" s="110"/>
    </row>
    <row r="39" spans="1:2" ht="9.75" customHeight="1">
      <c r="A39" s="27"/>
      <c r="B39" s="29"/>
    </row>
    <row r="40" spans="1:4" ht="22.5" customHeight="1">
      <c r="A40" s="10" t="s">
        <v>113</v>
      </c>
      <c r="B40" s="71" t="s">
        <v>58</v>
      </c>
      <c r="C40" s="77" t="s">
        <v>71</v>
      </c>
      <c r="D40" s="8" t="s">
        <v>110</v>
      </c>
    </row>
    <row r="41" spans="1:8" ht="12" customHeight="1">
      <c r="A41" s="103" t="str">
        <f>"Drawdown Storage  (30 - "&amp;TEXT(finterpolate($B$38,'DT-Tables'!$A$6:$A$25,1),"##,##0.00")&amp;")"</f>
        <v>Drawdown Storage  (30 - 0.00)</v>
      </c>
      <c r="B41" s="102">
        <f>30-finterpolate($B$38,'DT-Tables'!$A$6:$A$25,1)</f>
        <v>30</v>
      </c>
      <c r="C41" s="30" t="e">
        <f>$D16</f>
        <v>#DIV/0!</v>
      </c>
      <c r="D41" s="30" t="e">
        <f>INT(B41*C41+0.5)</f>
        <v>#DIV/0!</v>
      </c>
      <c r="E41" s="116" t="s">
        <v>73</v>
      </c>
      <c r="F41" s="117"/>
      <c r="G41" s="117"/>
      <c r="H41" s="118"/>
    </row>
    <row r="42" spans="1:8" ht="12" customHeight="1">
      <c r="A42" s="75" t="str">
        <f>"Gated (1) Storage  ("&amp;TEXT(finterpolate($B$33+$B$38,'DT-Tables'!$A$6:$A$25,1),"##,##0.00")&amp;" - "&amp;TEXT(finterpolate($B$38,'DT-Tables'!$A$6:$A$25,1),"##,##0.00")&amp;")"</f>
        <v>Gated (1) Storage  (0.00 - 0.00)</v>
      </c>
      <c r="B42" s="76">
        <f>finterpolate($B$33+$B$38,'DT-Tables'!$A$6:$A$25,1)-finterpolate($B$38,'DT-Tables'!$A$6:$A$25,1)</f>
        <v>0</v>
      </c>
      <c r="C42" s="30" t="e">
        <f>$D17</f>
        <v>#DIV/0!</v>
      </c>
      <c r="D42" s="30" t="e">
        <f>INT(B42*C42+0.5)</f>
        <v>#DIV/0!</v>
      </c>
      <c r="E42" s="139"/>
      <c r="F42" s="140"/>
      <c r="G42" s="140"/>
      <c r="H42" s="141"/>
    </row>
    <row r="43" spans="1:8" ht="12" customHeight="1">
      <c r="A43" s="75" t="str">
        <f>"Gated (2) Storage  ("&amp;TEXT(finterpolate($B$34+$B$38,'DT-Tables'!$A$6:$A$25,1),"##,##0.00")&amp;" - "&amp;TEXT(finterpolate($B$38,'DT-Tables'!$A$6:$A$25,1),"##,##0.00")&amp;")"</f>
        <v>Gated (2) Storage  (0.00 - 0.00)</v>
      </c>
      <c r="B43" s="76">
        <f>finterpolate($B$34+$B$38,'DT-Tables'!$A$6:$A$25,1)-finterpolate($B$38,'DT-Tables'!$A$6:$A$25,1)</f>
        <v>0</v>
      </c>
      <c r="C43" s="30" t="e">
        <f>$D18</f>
        <v>#DIV/0!</v>
      </c>
      <c r="D43" s="30" t="e">
        <f>INT(B43*C43+0.5)</f>
        <v>#DIV/0!</v>
      </c>
      <c r="E43" s="139"/>
      <c r="F43" s="140"/>
      <c r="G43" s="140"/>
      <c r="H43" s="141"/>
    </row>
    <row r="44" spans="1:8" ht="12" customHeight="1" thickBot="1">
      <c r="A44" s="75" t="str">
        <f>"Ungated) Storage  ("&amp;TEXT(finterpolate($B$35++$B$36+$B$38,'DT-Tables'!$A$6:$A$25,1),"##,##0.00")&amp;" - "&amp;TEXT(finterpolate($B$38,'DT-Tables'!$A$6:$A$25,1),"##,##0.00")&amp;")"</f>
        <v>Ungated) Storage  (0.00 - 0.00)</v>
      </c>
      <c r="B44" s="76">
        <f>finterpolate($B$35+B$36+$B$38,'DT-Tables'!$A$6:$A$25,1)-finterpolate($B$38,'DT-Tables'!$A$6:$A$25,1)</f>
        <v>0</v>
      </c>
      <c r="C44" s="31" t="e">
        <f>$D19</f>
        <v>#DIV/0!</v>
      </c>
      <c r="D44" s="31" t="e">
        <f>INT(B44*C44+0.5)</f>
        <v>#DIV/0!</v>
      </c>
      <c r="E44" s="142"/>
      <c r="F44" s="143"/>
      <c r="G44" s="143"/>
      <c r="H44" s="144"/>
    </row>
    <row r="45" spans="1:8" ht="12" customHeight="1" thickTop="1">
      <c r="A45" s="10" t="s">
        <v>110</v>
      </c>
      <c r="B45" s="2"/>
      <c r="C45" s="32" t="e">
        <f>SUM(C40:C44)</f>
        <v>#DIV/0!</v>
      </c>
      <c r="D45" s="32" t="e">
        <f>SUM(D40:D44)</f>
        <v>#DIV/0!</v>
      </c>
      <c r="E45" s="135" t="s">
        <v>57</v>
      </c>
      <c r="F45" s="135"/>
      <c r="G45" s="135"/>
      <c r="H45" s="136"/>
    </row>
    <row r="46" spans="1:4" ht="9.75" customHeight="1">
      <c r="A46" s="10"/>
      <c r="D46" s="32"/>
    </row>
    <row r="47" spans="1:3" ht="12" customHeight="1">
      <c r="A47" s="10"/>
      <c r="C47" s="57" t="str">
        <f>B11&amp;" dollars"</f>
        <v> dollars</v>
      </c>
    </row>
    <row r="48" spans="1:8" ht="12" customHeight="1">
      <c r="A48" s="10" t="s">
        <v>111</v>
      </c>
      <c r="C48" s="107" t="e">
        <f>IF($D$45&gt;0,$B9/$D$45,"Not Available")</f>
        <v>#DIV/0!</v>
      </c>
      <c r="E48" s="145" t="s">
        <v>55</v>
      </c>
      <c r="F48" s="146"/>
      <c r="G48" s="146"/>
      <c r="H48" s="147"/>
    </row>
    <row r="49" spans="1:8" ht="12" customHeight="1">
      <c r="A49" s="10" t="s">
        <v>112</v>
      </c>
      <c r="C49" s="107" t="e">
        <f>IF($D$45&gt;0,$B10/$D$45,"Not Available")</f>
        <v>#DIV/0!</v>
      </c>
      <c r="E49" s="145" t="s">
        <v>56</v>
      </c>
      <c r="F49" s="146"/>
      <c r="G49" s="146"/>
      <c r="H49" s="147"/>
    </row>
    <row r="50" ht="9.75" customHeight="1"/>
    <row r="51" spans="1:8" ht="12" customHeight="1">
      <c r="A51" s="10" t="s">
        <v>49</v>
      </c>
      <c r="B51" s="148"/>
      <c r="C51" s="149"/>
      <c r="D51" s="150"/>
      <c r="E51" s="135" t="s">
        <v>53</v>
      </c>
      <c r="F51" s="135"/>
      <c r="G51" s="135"/>
      <c r="H51" s="111"/>
    </row>
    <row r="52" spans="1:8" ht="12" customHeight="1">
      <c r="A52" s="10" t="s">
        <v>50</v>
      </c>
      <c r="B52" s="54"/>
      <c r="C52" s="52"/>
      <c r="D52" s="53"/>
      <c r="E52" s="135" t="s">
        <v>54</v>
      </c>
      <c r="F52" s="135"/>
      <c r="G52" s="135"/>
      <c r="H52" s="136"/>
    </row>
    <row r="53" spans="1:8" ht="12" customHeight="1">
      <c r="A53" s="10" t="s">
        <v>51</v>
      </c>
      <c r="B53" s="137"/>
      <c r="C53" s="138"/>
      <c r="D53" s="64"/>
      <c r="E53" s="135" t="s">
        <v>74</v>
      </c>
      <c r="F53" s="135"/>
      <c r="G53" s="135"/>
      <c r="H53" s="136"/>
    </row>
  </sheetData>
  <sheetProtection/>
  <mergeCells count="28">
    <mergeCell ref="E52:H52"/>
    <mergeCell ref="B53:C53"/>
    <mergeCell ref="E53:H53"/>
    <mergeCell ref="E41:H44"/>
    <mergeCell ref="E45:H45"/>
    <mergeCell ref="E48:H48"/>
    <mergeCell ref="E49:H49"/>
    <mergeCell ref="B51:D51"/>
    <mergeCell ref="E51:H51"/>
    <mergeCell ref="E24:H30"/>
    <mergeCell ref="C33:H33"/>
    <mergeCell ref="C34:H34"/>
    <mergeCell ref="C35:H35"/>
    <mergeCell ref="C36:H36"/>
    <mergeCell ref="E38:H38"/>
    <mergeCell ref="B7:D7"/>
    <mergeCell ref="E7:H7"/>
    <mergeCell ref="E9:H10"/>
    <mergeCell ref="E11:H11"/>
    <mergeCell ref="C13:H13"/>
    <mergeCell ref="E15:H20"/>
    <mergeCell ref="A2:D2"/>
    <mergeCell ref="E2:H3"/>
    <mergeCell ref="A3:D3"/>
    <mergeCell ref="B5:C5"/>
    <mergeCell ref="E5:H5"/>
    <mergeCell ref="B6:D6"/>
    <mergeCell ref="E6:H6"/>
  </mergeCells>
  <printOptions/>
  <pageMargins left="0.75" right="0.75" top="1" bottom="1" header="0.5" footer="0.5"/>
  <pageSetup fitToHeight="1" fitToWidth="1" horizontalDpi="600" verticalDpi="600" orientation="portrait" scale="98" r:id="rId1"/>
  <headerFooter alignWithMargins="0">
    <oddHeader>&amp;L&amp;8&amp;F&amp;C&amp;8&amp;A&amp;R&amp;8Print Date: &amp;D</oddHeader>
  </headerFooter>
</worksheet>
</file>

<file path=xl/worksheets/sheet2.xml><?xml version="1.0" encoding="utf-8"?>
<worksheet xmlns="http://schemas.openxmlformats.org/spreadsheetml/2006/main" xmlns:r="http://schemas.openxmlformats.org/officeDocument/2006/relationships">
  <dimension ref="A1:I6"/>
  <sheetViews>
    <sheetView zoomScalePageLayoutView="0" workbookViewId="0" topLeftCell="A1">
      <selection activeCell="B12" sqref="B12"/>
    </sheetView>
  </sheetViews>
  <sheetFormatPr defaultColWidth="9.140625" defaultRowHeight="12.75"/>
  <sheetData>
    <row r="1" spans="1:9" ht="26.25" customHeight="1">
      <c r="A1" s="151" t="s">
        <v>104</v>
      </c>
      <c r="B1" s="152"/>
      <c r="C1" s="152"/>
      <c r="D1" s="152"/>
      <c r="E1" s="152"/>
      <c r="F1" s="152"/>
      <c r="G1" s="152"/>
      <c r="H1" s="152"/>
      <c r="I1" s="152"/>
    </row>
    <row r="3" spans="1:9" ht="58.5" customHeight="1">
      <c r="A3" s="151" t="s">
        <v>108</v>
      </c>
      <c r="B3" s="152"/>
      <c r="C3" s="152"/>
      <c r="D3" s="152"/>
      <c r="E3" s="152"/>
      <c r="F3" s="152"/>
      <c r="G3" s="152"/>
      <c r="H3" s="152"/>
      <c r="I3" s="152"/>
    </row>
    <row r="5" ht="12.75">
      <c r="A5" t="s">
        <v>105</v>
      </c>
    </row>
    <row r="6" ht="12.75">
      <c r="B6" s="108" t="s">
        <v>106</v>
      </c>
    </row>
  </sheetData>
  <sheetProtection/>
  <mergeCells count="2">
    <mergeCell ref="A1:I1"/>
    <mergeCell ref="A3:I3"/>
  </mergeCells>
  <hyperlinks>
    <hyperlink ref="B6" r:id="rId1" display="https://usace.contentdm.oclc.org/digital/collection/p16021coll9/id/2550"/>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codeName="Sheet38"/>
  <dimension ref="B33:H126"/>
  <sheetViews>
    <sheetView zoomScalePageLayoutView="0" workbookViewId="0" topLeftCell="A1">
      <selection activeCell="K6" sqref="K6"/>
    </sheetView>
  </sheetViews>
  <sheetFormatPr defaultColWidth="9.140625" defaultRowHeight="12.75"/>
  <cols>
    <col min="1" max="16384" width="9.140625" style="1" customWidth="1"/>
  </cols>
  <sheetData>
    <row r="33" spans="2:8" ht="10.5">
      <c r="B33" s="65" t="s">
        <v>77</v>
      </c>
      <c r="C33" s="65" t="s">
        <v>76</v>
      </c>
      <c r="D33" s="65" t="s">
        <v>1</v>
      </c>
      <c r="G33" s="65" t="s">
        <v>0</v>
      </c>
      <c r="H33" s="65" t="s">
        <v>76</v>
      </c>
    </row>
    <row r="34" spans="2:8" ht="10.5">
      <c r="B34" s="67">
        <v>0</v>
      </c>
      <c r="C34" s="67">
        <v>0</v>
      </c>
      <c r="D34" s="68">
        <v>1</v>
      </c>
      <c r="E34" s="68"/>
      <c r="G34" s="1">
        <v>3.6</v>
      </c>
      <c r="H34" s="1">
        <v>0</v>
      </c>
    </row>
    <row r="35" spans="2:8" ht="10.5">
      <c r="B35" s="67">
        <v>3.6</v>
      </c>
      <c r="C35" s="67">
        <v>3.6</v>
      </c>
      <c r="D35" s="68">
        <v>1</v>
      </c>
      <c r="E35" s="68">
        <f aca="true" t="shared" si="0" ref="E35:E40">-0.1*B35*B35+1.62*B35-0.936</f>
        <v>3.6000000000000005</v>
      </c>
      <c r="G35" s="1">
        <v>3.6</v>
      </c>
      <c r="H35" s="1">
        <v>8</v>
      </c>
    </row>
    <row r="36" spans="2:5" ht="10.5">
      <c r="B36" s="67">
        <v>4.6</v>
      </c>
      <c r="C36" s="67">
        <v>4.4</v>
      </c>
      <c r="D36" s="68">
        <f>C36/B36</f>
        <v>0.9565217391304349</v>
      </c>
      <c r="E36" s="68">
        <f t="shared" si="0"/>
        <v>4.4</v>
      </c>
    </row>
    <row r="37" spans="2:8" ht="10.5">
      <c r="B37" s="67">
        <v>5.6</v>
      </c>
      <c r="C37" s="67">
        <v>5</v>
      </c>
      <c r="D37" s="68">
        <f>C37/B37</f>
        <v>0.8928571428571429</v>
      </c>
      <c r="E37" s="68">
        <f t="shared" si="0"/>
        <v>5</v>
      </c>
      <c r="G37" s="1">
        <v>8.1</v>
      </c>
      <c r="H37" s="1">
        <v>0</v>
      </c>
    </row>
    <row r="38" spans="2:8" ht="10.5">
      <c r="B38" s="67">
        <v>6.6</v>
      </c>
      <c r="C38" s="67">
        <v>5.4</v>
      </c>
      <c r="D38" s="68">
        <f>C38/B38</f>
        <v>0.8181818181818182</v>
      </c>
      <c r="E38" s="68">
        <f t="shared" si="0"/>
        <v>5.4</v>
      </c>
      <c r="G38" s="1">
        <v>8.1</v>
      </c>
      <c r="H38" s="1">
        <v>8</v>
      </c>
    </row>
    <row r="39" spans="2:5" ht="10.5">
      <c r="B39" s="67">
        <v>7.6</v>
      </c>
      <c r="C39" s="67">
        <v>5.6</v>
      </c>
      <c r="D39" s="68">
        <f>C39/B39</f>
        <v>0.7368421052631579</v>
      </c>
      <c r="E39" s="68">
        <f t="shared" si="0"/>
        <v>5.6</v>
      </c>
    </row>
    <row r="40" spans="2:8" ht="10.5">
      <c r="B40" s="67">
        <v>8.1</v>
      </c>
      <c r="C40" s="67">
        <v>5.6</v>
      </c>
      <c r="D40" s="68">
        <f>C40/B40</f>
        <v>0.691358024691358</v>
      </c>
      <c r="E40" s="68">
        <f t="shared" si="0"/>
        <v>5.625</v>
      </c>
      <c r="G40" s="1">
        <v>0</v>
      </c>
      <c r="H40" s="1">
        <v>5.625</v>
      </c>
    </row>
    <row r="41" spans="2:8" ht="10.5">
      <c r="B41" s="67"/>
      <c r="C41" s="67"/>
      <c r="E41" s="68"/>
      <c r="G41" s="1">
        <v>10</v>
      </c>
      <c r="H41" s="1">
        <v>5.625</v>
      </c>
    </row>
    <row r="42" spans="2:3" ht="10.5">
      <c r="B42" s="67"/>
      <c r="C42" s="67"/>
    </row>
    <row r="44" spans="2:7" ht="10.5">
      <c r="B44" s="65" t="s">
        <v>0</v>
      </c>
      <c r="C44" s="65"/>
      <c r="D44" s="65"/>
      <c r="E44" s="65" t="s">
        <v>79</v>
      </c>
      <c r="F44" s="65" t="s">
        <v>80</v>
      </c>
      <c r="G44" s="65" t="s">
        <v>78</v>
      </c>
    </row>
    <row r="45" spans="2:6" ht="10.5">
      <c r="B45" s="1">
        <v>0</v>
      </c>
      <c r="E45" s="68">
        <f aca="true" t="shared" si="1" ref="E45:E108">IF(B45&lt;3.6,B45,IF(B45&lt;8.1,-0.1*B45*B45+1.62*B45-0.936,5.625))</f>
        <v>0</v>
      </c>
      <c r="F45" s="68">
        <f>(IF(B45&lt;3.6,1,IF(B45&lt;5.5,-0.0106*B45*B45+0.0457*B45+0.9714,IF(B45&lt;8,-0.0833*B45+1.358,0.69)))*B45)</f>
        <v>0</v>
      </c>
    </row>
    <row r="46" spans="2:7" ht="10.5">
      <c r="B46" s="1">
        <f>B45+0.1</f>
        <v>0.1</v>
      </c>
      <c r="E46" s="68">
        <f t="shared" si="1"/>
        <v>0.1</v>
      </c>
      <c r="F46" s="68">
        <f aca="true" t="shared" si="2" ref="F46:F109">(IF(B46&lt;3.6,1,IF(B46&lt;5.5,-0.0106*B46*B46+0.0457*B46+0.9714,IF(B46&lt;8,-0.0833*$B46+1.358,0.69)))*B46)</f>
        <v>0.1</v>
      </c>
      <c r="G46" s="69">
        <f>E46/F46</f>
        <v>1</v>
      </c>
    </row>
    <row r="47" spans="2:7" ht="10.5">
      <c r="B47" s="1">
        <f aca="true" t="shared" si="3" ref="B47:B68">B46+0.1</f>
        <v>0.2</v>
      </c>
      <c r="E47" s="68">
        <f t="shared" si="1"/>
        <v>0.2</v>
      </c>
      <c r="F47" s="68">
        <f t="shared" si="2"/>
        <v>0.2</v>
      </c>
      <c r="G47" s="69">
        <f aca="true" t="shared" si="4" ref="G47:G110">E47/F47</f>
        <v>1</v>
      </c>
    </row>
    <row r="48" spans="2:7" ht="10.5">
      <c r="B48" s="1">
        <f t="shared" si="3"/>
        <v>0.30000000000000004</v>
      </c>
      <c r="E48" s="68">
        <f t="shared" si="1"/>
        <v>0.30000000000000004</v>
      </c>
      <c r="F48" s="68">
        <f t="shared" si="2"/>
        <v>0.30000000000000004</v>
      </c>
      <c r="G48" s="69">
        <f t="shared" si="4"/>
        <v>1</v>
      </c>
    </row>
    <row r="49" spans="2:7" ht="10.5">
      <c r="B49" s="1">
        <f t="shared" si="3"/>
        <v>0.4</v>
      </c>
      <c r="E49" s="68">
        <f t="shared" si="1"/>
        <v>0.4</v>
      </c>
      <c r="F49" s="68">
        <f t="shared" si="2"/>
        <v>0.4</v>
      </c>
      <c r="G49" s="69">
        <f t="shared" si="4"/>
        <v>1</v>
      </c>
    </row>
    <row r="50" spans="2:7" ht="10.5">
      <c r="B50" s="1">
        <f t="shared" si="3"/>
        <v>0.5</v>
      </c>
      <c r="E50" s="68">
        <f t="shared" si="1"/>
        <v>0.5</v>
      </c>
      <c r="F50" s="68">
        <f t="shared" si="2"/>
        <v>0.5</v>
      </c>
      <c r="G50" s="69">
        <f t="shared" si="4"/>
        <v>1</v>
      </c>
    </row>
    <row r="51" spans="2:7" ht="10.5">
      <c r="B51" s="1">
        <f t="shared" si="3"/>
        <v>0.6</v>
      </c>
      <c r="E51" s="68">
        <f t="shared" si="1"/>
        <v>0.6</v>
      </c>
      <c r="F51" s="68">
        <f t="shared" si="2"/>
        <v>0.6</v>
      </c>
      <c r="G51" s="69">
        <f t="shared" si="4"/>
        <v>1</v>
      </c>
    </row>
    <row r="52" spans="2:7" ht="10.5">
      <c r="B52" s="1">
        <f t="shared" si="3"/>
        <v>0.7</v>
      </c>
      <c r="E52" s="68">
        <f t="shared" si="1"/>
        <v>0.7</v>
      </c>
      <c r="F52" s="68">
        <f t="shared" si="2"/>
        <v>0.7</v>
      </c>
      <c r="G52" s="69">
        <f t="shared" si="4"/>
        <v>1</v>
      </c>
    </row>
    <row r="53" spans="2:7" ht="10.5">
      <c r="B53" s="1">
        <f t="shared" si="3"/>
        <v>0.7999999999999999</v>
      </c>
      <c r="E53" s="68">
        <f t="shared" si="1"/>
        <v>0.7999999999999999</v>
      </c>
      <c r="F53" s="68">
        <f t="shared" si="2"/>
        <v>0.7999999999999999</v>
      </c>
      <c r="G53" s="69">
        <f t="shared" si="4"/>
        <v>1</v>
      </c>
    </row>
    <row r="54" spans="2:7" ht="10.5">
      <c r="B54" s="1">
        <f t="shared" si="3"/>
        <v>0.8999999999999999</v>
      </c>
      <c r="E54" s="68">
        <f t="shared" si="1"/>
        <v>0.8999999999999999</v>
      </c>
      <c r="F54" s="68">
        <f t="shared" si="2"/>
        <v>0.8999999999999999</v>
      </c>
      <c r="G54" s="69">
        <f t="shared" si="4"/>
        <v>1</v>
      </c>
    </row>
    <row r="55" spans="2:7" ht="10.5">
      <c r="B55" s="1">
        <f t="shared" si="3"/>
        <v>0.9999999999999999</v>
      </c>
      <c r="E55" s="68">
        <f t="shared" si="1"/>
        <v>0.9999999999999999</v>
      </c>
      <c r="F55" s="68">
        <f t="shared" si="2"/>
        <v>0.9999999999999999</v>
      </c>
      <c r="G55" s="69">
        <f t="shared" si="4"/>
        <v>1</v>
      </c>
    </row>
    <row r="56" spans="2:7" ht="10.5">
      <c r="B56" s="1">
        <f t="shared" si="3"/>
        <v>1.0999999999999999</v>
      </c>
      <c r="E56" s="68">
        <f t="shared" si="1"/>
        <v>1.0999999999999999</v>
      </c>
      <c r="F56" s="68">
        <f t="shared" si="2"/>
        <v>1.0999999999999999</v>
      </c>
      <c r="G56" s="69">
        <f t="shared" si="4"/>
        <v>1</v>
      </c>
    </row>
    <row r="57" spans="2:7" ht="10.5">
      <c r="B57" s="1">
        <f t="shared" si="3"/>
        <v>1.2</v>
      </c>
      <c r="E57" s="68">
        <f t="shared" si="1"/>
        <v>1.2</v>
      </c>
      <c r="F57" s="68">
        <f t="shared" si="2"/>
        <v>1.2</v>
      </c>
      <c r="G57" s="69">
        <f t="shared" si="4"/>
        <v>1</v>
      </c>
    </row>
    <row r="58" spans="2:7" ht="10.5">
      <c r="B58" s="1">
        <f t="shared" si="3"/>
        <v>1.3</v>
      </c>
      <c r="E58" s="68">
        <f t="shared" si="1"/>
        <v>1.3</v>
      </c>
      <c r="F58" s="68">
        <f t="shared" si="2"/>
        <v>1.3</v>
      </c>
      <c r="G58" s="69">
        <f t="shared" si="4"/>
        <v>1</v>
      </c>
    </row>
    <row r="59" spans="2:7" ht="10.5">
      <c r="B59" s="1">
        <f t="shared" si="3"/>
        <v>1.4000000000000001</v>
      </c>
      <c r="E59" s="68">
        <f t="shared" si="1"/>
        <v>1.4000000000000001</v>
      </c>
      <c r="F59" s="68">
        <f t="shared" si="2"/>
        <v>1.4000000000000001</v>
      </c>
      <c r="G59" s="69">
        <f t="shared" si="4"/>
        <v>1</v>
      </c>
    </row>
    <row r="60" spans="2:7" ht="10.5">
      <c r="B60" s="1">
        <f t="shared" si="3"/>
        <v>1.5000000000000002</v>
      </c>
      <c r="E60" s="68">
        <f t="shared" si="1"/>
        <v>1.5000000000000002</v>
      </c>
      <c r="F60" s="68">
        <f t="shared" si="2"/>
        <v>1.5000000000000002</v>
      </c>
      <c r="G60" s="69">
        <f t="shared" si="4"/>
        <v>1</v>
      </c>
    </row>
    <row r="61" spans="2:7" ht="10.5">
      <c r="B61" s="1">
        <f t="shared" si="3"/>
        <v>1.6000000000000003</v>
      </c>
      <c r="E61" s="68">
        <f t="shared" si="1"/>
        <v>1.6000000000000003</v>
      </c>
      <c r="F61" s="68">
        <f t="shared" si="2"/>
        <v>1.6000000000000003</v>
      </c>
      <c r="G61" s="69">
        <f t="shared" si="4"/>
        <v>1</v>
      </c>
    </row>
    <row r="62" spans="2:7" ht="10.5">
      <c r="B62" s="1">
        <f t="shared" si="3"/>
        <v>1.7000000000000004</v>
      </c>
      <c r="E62" s="68">
        <f t="shared" si="1"/>
        <v>1.7000000000000004</v>
      </c>
      <c r="F62" s="68">
        <f t="shared" si="2"/>
        <v>1.7000000000000004</v>
      </c>
      <c r="G62" s="69">
        <f t="shared" si="4"/>
        <v>1</v>
      </c>
    </row>
    <row r="63" spans="2:7" ht="10.5">
      <c r="B63" s="1">
        <f t="shared" si="3"/>
        <v>1.8000000000000005</v>
      </c>
      <c r="E63" s="68">
        <f t="shared" si="1"/>
        <v>1.8000000000000005</v>
      </c>
      <c r="F63" s="68">
        <f t="shared" si="2"/>
        <v>1.8000000000000005</v>
      </c>
      <c r="G63" s="69">
        <f t="shared" si="4"/>
        <v>1</v>
      </c>
    </row>
    <row r="64" spans="2:7" ht="10.5">
      <c r="B64" s="1">
        <f t="shared" si="3"/>
        <v>1.9000000000000006</v>
      </c>
      <c r="E64" s="68">
        <f t="shared" si="1"/>
        <v>1.9000000000000006</v>
      </c>
      <c r="F64" s="68">
        <f t="shared" si="2"/>
        <v>1.9000000000000006</v>
      </c>
      <c r="G64" s="69">
        <f t="shared" si="4"/>
        <v>1</v>
      </c>
    </row>
    <row r="65" spans="2:7" ht="10.5">
      <c r="B65" s="1">
        <f t="shared" si="3"/>
        <v>2.0000000000000004</v>
      </c>
      <c r="E65" s="68">
        <f t="shared" si="1"/>
        <v>2.0000000000000004</v>
      </c>
      <c r="F65" s="68">
        <f t="shared" si="2"/>
        <v>2.0000000000000004</v>
      </c>
      <c r="G65" s="69">
        <f t="shared" si="4"/>
        <v>1</v>
      </c>
    </row>
    <row r="66" spans="2:7" ht="10.5">
      <c r="B66" s="1">
        <f t="shared" si="3"/>
        <v>2.1000000000000005</v>
      </c>
      <c r="E66" s="68">
        <f t="shared" si="1"/>
        <v>2.1000000000000005</v>
      </c>
      <c r="F66" s="68">
        <f t="shared" si="2"/>
        <v>2.1000000000000005</v>
      </c>
      <c r="G66" s="69">
        <f t="shared" si="4"/>
        <v>1</v>
      </c>
    </row>
    <row r="67" spans="2:7" ht="10.5">
      <c r="B67" s="1">
        <f t="shared" si="3"/>
        <v>2.2000000000000006</v>
      </c>
      <c r="E67" s="68">
        <f t="shared" si="1"/>
        <v>2.2000000000000006</v>
      </c>
      <c r="F67" s="68">
        <f t="shared" si="2"/>
        <v>2.2000000000000006</v>
      </c>
      <c r="G67" s="69">
        <f t="shared" si="4"/>
        <v>1</v>
      </c>
    </row>
    <row r="68" spans="2:7" ht="10.5">
      <c r="B68" s="1">
        <f t="shared" si="3"/>
        <v>2.3000000000000007</v>
      </c>
      <c r="E68" s="68">
        <f t="shared" si="1"/>
        <v>2.3000000000000007</v>
      </c>
      <c r="F68" s="68">
        <f t="shared" si="2"/>
        <v>2.3000000000000007</v>
      </c>
      <c r="G68" s="69">
        <f t="shared" si="4"/>
        <v>1</v>
      </c>
    </row>
    <row r="69" spans="2:7" ht="10.5">
      <c r="B69" s="1">
        <f aca="true" t="shared" si="5" ref="B69:B126">B68+0.1</f>
        <v>2.400000000000001</v>
      </c>
      <c r="E69" s="68">
        <f t="shared" si="1"/>
        <v>2.400000000000001</v>
      </c>
      <c r="F69" s="68">
        <f t="shared" si="2"/>
        <v>2.400000000000001</v>
      </c>
      <c r="G69" s="69">
        <f t="shared" si="4"/>
        <v>1</v>
      </c>
    </row>
    <row r="70" spans="2:7" ht="10.5">
      <c r="B70" s="1">
        <f t="shared" si="5"/>
        <v>2.500000000000001</v>
      </c>
      <c r="E70" s="68">
        <f t="shared" si="1"/>
        <v>2.500000000000001</v>
      </c>
      <c r="F70" s="68">
        <f t="shared" si="2"/>
        <v>2.500000000000001</v>
      </c>
      <c r="G70" s="69">
        <f t="shared" si="4"/>
        <v>1</v>
      </c>
    </row>
    <row r="71" spans="2:7" ht="10.5">
      <c r="B71" s="1">
        <f t="shared" si="5"/>
        <v>2.600000000000001</v>
      </c>
      <c r="E71" s="68">
        <f t="shared" si="1"/>
        <v>2.600000000000001</v>
      </c>
      <c r="F71" s="68">
        <f t="shared" si="2"/>
        <v>2.600000000000001</v>
      </c>
      <c r="G71" s="69">
        <f t="shared" si="4"/>
        <v>1</v>
      </c>
    </row>
    <row r="72" spans="2:7" ht="10.5">
      <c r="B72" s="1">
        <f t="shared" si="5"/>
        <v>2.700000000000001</v>
      </c>
      <c r="E72" s="68">
        <f t="shared" si="1"/>
        <v>2.700000000000001</v>
      </c>
      <c r="F72" s="68">
        <f t="shared" si="2"/>
        <v>2.700000000000001</v>
      </c>
      <c r="G72" s="69">
        <f t="shared" si="4"/>
        <v>1</v>
      </c>
    </row>
    <row r="73" spans="2:7" ht="10.5">
      <c r="B73" s="1">
        <f t="shared" si="5"/>
        <v>2.800000000000001</v>
      </c>
      <c r="E73" s="68">
        <f t="shared" si="1"/>
        <v>2.800000000000001</v>
      </c>
      <c r="F73" s="68">
        <f t="shared" si="2"/>
        <v>2.800000000000001</v>
      </c>
      <c r="G73" s="69">
        <f t="shared" si="4"/>
        <v>1</v>
      </c>
    </row>
    <row r="74" spans="2:7" ht="10.5">
      <c r="B74" s="1">
        <f t="shared" si="5"/>
        <v>2.9000000000000012</v>
      </c>
      <c r="E74" s="68">
        <f t="shared" si="1"/>
        <v>2.9000000000000012</v>
      </c>
      <c r="F74" s="68">
        <f t="shared" si="2"/>
        <v>2.9000000000000012</v>
      </c>
      <c r="G74" s="69">
        <f t="shared" si="4"/>
        <v>1</v>
      </c>
    </row>
    <row r="75" spans="2:7" ht="10.5">
      <c r="B75" s="1">
        <f t="shared" si="5"/>
        <v>3.0000000000000013</v>
      </c>
      <c r="E75" s="68">
        <f t="shared" si="1"/>
        <v>3.0000000000000013</v>
      </c>
      <c r="F75" s="68">
        <f t="shared" si="2"/>
        <v>3.0000000000000013</v>
      </c>
      <c r="G75" s="69">
        <f t="shared" si="4"/>
        <v>1</v>
      </c>
    </row>
    <row r="76" spans="2:7" ht="10.5">
      <c r="B76" s="1">
        <f t="shared" si="5"/>
        <v>3.1000000000000014</v>
      </c>
      <c r="E76" s="68">
        <f t="shared" si="1"/>
        <v>3.1000000000000014</v>
      </c>
      <c r="F76" s="68">
        <f t="shared" si="2"/>
        <v>3.1000000000000014</v>
      </c>
      <c r="G76" s="69">
        <f t="shared" si="4"/>
        <v>1</v>
      </c>
    </row>
    <row r="77" spans="2:7" ht="10.5">
      <c r="B77" s="1">
        <f t="shared" si="5"/>
        <v>3.2000000000000015</v>
      </c>
      <c r="E77" s="68">
        <f t="shared" si="1"/>
        <v>3.2000000000000015</v>
      </c>
      <c r="F77" s="68">
        <f t="shared" si="2"/>
        <v>3.2000000000000015</v>
      </c>
      <c r="G77" s="69">
        <f t="shared" si="4"/>
        <v>1</v>
      </c>
    </row>
    <row r="78" spans="2:7" ht="10.5">
      <c r="B78" s="1">
        <f t="shared" si="5"/>
        <v>3.3000000000000016</v>
      </c>
      <c r="E78" s="68">
        <f t="shared" si="1"/>
        <v>3.3000000000000016</v>
      </c>
      <c r="F78" s="68">
        <f t="shared" si="2"/>
        <v>3.3000000000000016</v>
      </c>
      <c r="G78" s="69">
        <f t="shared" si="4"/>
        <v>1</v>
      </c>
    </row>
    <row r="79" spans="2:7" ht="10.5">
      <c r="B79" s="1">
        <f t="shared" si="5"/>
        <v>3.4000000000000017</v>
      </c>
      <c r="E79" s="68">
        <f t="shared" si="1"/>
        <v>3.4000000000000017</v>
      </c>
      <c r="F79" s="68">
        <f t="shared" si="2"/>
        <v>3.4000000000000017</v>
      </c>
      <c r="G79" s="69">
        <f t="shared" si="4"/>
        <v>1</v>
      </c>
    </row>
    <row r="80" spans="2:7" ht="10.5">
      <c r="B80" s="1">
        <f t="shared" si="5"/>
        <v>3.5000000000000018</v>
      </c>
      <c r="E80" s="68">
        <f t="shared" si="1"/>
        <v>3.5000000000000018</v>
      </c>
      <c r="F80" s="68">
        <f t="shared" si="2"/>
        <v>3.5000000000000018</v>
      </c>
      <c r="G80" s="69">
        <f t="shared" si="4"/>
        <v>1</v>
      </c>
    </row>
    <row r="81" spans="2:7" ht="10.5">
      <c r="B81" s="1">
        <f t="shared" si="5"/>
        <v>3.600000000000002</v>
      </c>
      <c r="E81" s="68">
        <f t="shared" si="1"/>
        <v>3.6000000000000023</v>
      </c>
      <c r="F81" s="68">
        <f t="shared" si="2"/>
        <v>3.5947584000000017</v>
      </c>
      <c r="G81" s="69">
        <f t="shared" si="4"/>
        <v>1.0014581230271278</v>
      </c>
    </row>
    <row r="82" spans="2:7" ht="10.5">
      <c r="B82" s="1">
        <f t="shared" si="5"/>
        <v>3.700000000000002</v>
      </c>
      <c r="E82" s="68">
        <f t="shared" si="1"/>
        <v>3.689000000000002</v>
      </c>
      <c r="F82" s="68">
        <f t="shared" si="2"/>
        <v>3.6828912000000016</v>
      </c>
      <c r="G82" s="69">
        <f t="shared" si="4"/>
        <v>1.0016586968412209</v>
      </c>
    </row>
    <row r="83" spans="2:7" ht="10.5">
      <c r="B83" s="1">
        <f t="shared" si="5"/>
        <v>3.800000000000002</v>
      </c>
      <c r="E83" s="68">
        <f t="shared" si="1"/>
        <v>3.7760000000000025</v>
      </c>
      <c r="F83" s="68">
        <f t="shared" si="2"/>
        <v>3.769584800000002</v>
      </c>
      <c r="G83" s="69">
        <f t="shared" si="4"/>
        <v>1.0017018319895603</v>
      </c>
    </row>
    <row r="84" spans="2:7" ht="10.5">
      <c r="B84" s="1">
        <f t="shared" si="5"/>
        <v>3.900000000000002</v>
      </c>
      <c r="E84" s="68">
        <f t="shared" si="1"/>
        <v>3.8610000000000024</v>
      </c>
      <c r="F84" s="68">
        <f t="shared" si="2"/>
        <v>3.8547756000000017</v>
      </c>
      <c r="G84" s="69">
        <f t="shared" si="4"/>
        <v>1.0016147243434872</v>
      </c>
    </row>
    <row r="85" spans="2:7" ht="10.5">
      <c r="B85" s="1">
        <f t="shared" si="5"/>
        <v>4.000000000000002</v>
      </c>
      <c r="E85" s="68">
        <f t="shared" si="1"/>
        <v>3.9440000000000017</v>
      </c>
      <c r="F85" s="68">
        <f t="shared" si="2"/>
        <v>3.9384000000000015</v>
      </c>
      <c r="G85" s="69">
        <f t="shared" si="4"/>
        <v>1.001421897217144</v>
      </c>
    </row>
    <row r="86" spans="2:7" ht="10.5">
      <c r="B86" s="1">
        <f t="shared" si="5"/>
        <v>4.100000000000001</v>
      </c>
      <c r="E86" s="68">
        <f t="shared" si="1"/>
        <v>4.025000000000002</v>
      </c>
      <c r="F86" s="68">
        <f t="shared" si="2"/>
        <v>4.020394400000002</v>
      </c>
      <c r="G86" s="69">
        <f t="shared" si="4"/>
        <v>1.0011455592515999</v>
      </c>
    </row>
    <row r="87" spans="2:7" ht="10.5">
      <c r="B87" s="1">
        <f t="shared" si="5"/>
        <v>4.200000000000001</v>
      </c>
      <c r="E87" s="68">
        <f t="shared" si="1"/>
        <v>4.104000000000001</v>
      </c>
      <c r="F87" s="68">
        <f t="shared" si="2"/>
        <v>4.100695200000001</v>
      </c>
      <c r="G87" s="69">
        <f t="shared" si="4"/>
        <v>1.0008059121292407</v>
      </c>
    </row>
    <row r="88" spans="2:7" ht="10.5">
      <c r="B88" s="1">
        <f t="shared" si="5"/>
        <v>4.300000000000001</v>
      </c>
      <c r="E88" s="68">
        <f t="shared" si="1"/>
        <v>4.181000000000001</v>
      </c>
      <c r="F88" s="68">
        <f t="shared" si="2"/>
        <v>4.179238800000001</v>
      </c>
      <c r="G88" s="69">
        <f t="shared" si="4"/>
        <v>1.000421416455073</v>
      </c>
    </row>
    <row r="89" spans="2:7" ht="10.5">
      <c r="B89" s="1">
        <f t="shared" si="5"/>
        <v>4.4</v>
      </c>
      <c r="E89" s="68">
        <f t="shared" si="1"/>
        <v>4.256</v>
      </c>
      <c r="F89" s="68">
        <f t="shared" si="2"/>
        <v>4.2559616</v>
      </c>
      <c r="G89" s="69">
        <f t="shared" si="4"/>
        <v>1.0000090226377982</v>
      </c>
    </row>
    <row r="90" spans="2:7" ht="10.5">
      <c r="B90" s="1">
        <f t="shared" si="5"/>
        <v>4.5</v>
      </c>
      <c r="E90" s="68">
        <f t="shared" si="1"/>
        <v>4.329000000000001</v>
      </c>
      <c r="F90" s="68">
        <f t="shared" si="2"/>
        <v>4.3308</v>
      </c>
      <c r="G90" s="69">
        <f t="shared" si="4"/>
        <v>0.9995843724023277</v>
      </c>
    </row>
    <row r="91" spans="2:7" ht="10.5">
      <c r="B91" s="1">
        <f t="shared" si="5"/>
        <v>4.6</v>
      </c>
      <c r="E91" s="68">
        <f t="shared" si="1"/>
        <v>4.4</v>
      </c>
      <c r="F91" s="68">
        <f t="shared" si="2"/>
        <v>4.4036904</v>
      </c>
      <c r="G91" s="69">
        <f t="shared" si="4"/>
        <v>0.9991619756011912</v>
      </c>
    </row>
    <row r="92" spans="2:7" ht="10.5">
      <c r="B92" s="1">
        <f t="shared" si="5"/>
        <v>4.699999999999999</v>
      </c>
      <c r="E92" s="68">
        <f t="shared" si="1"/>
        <v>4.468999999999999</v>
      </c>
      <c r="F92" s="68">
        <f t="shared" si="2"/>
        <v>4.4745691999999995</v>
      </c>
      <c r="G92" s="69">
        <f t="shared" si="4"/>
        <v>0.9987553662149197</v>
      </c>
    </row>
    <row r="93" spans="2:7" ht="10.5">
      <c r="B93" s="1">
        <f t="shared" si="5"/>
        <v>4.799999999999999</v>
      </c>
      <c r="E93" s="68">
        <f t="shared" si="1"/>
        <v>4.536</v>
      </c>
      <c r="F93" s="68">
        <f t="shared" si="2"/>
        <v>4.543372799999999</v>
      </c>
      <c r="G93" s="69">
        <f t="shared" si="4"/>
        <v>0.9983772408022517</v>
      </c>
    </row>
    <row r="94" spans="2:7" ht="10.5">
      <c r="B94" s="1">
        <f t="shared" si="5"/>
        <v>4.899999999999999</v>
      </c>
      <c r="E94" s="68">
        <f t="shared" si="1"/>
        <v>4.600999999999999</v>
      </c>
      <c r="F94" s="68">
        <f t="shared" si="2"/>
        <v>4.610037599999999</v>
      </c>
      <c r="G94" s="69">
        <f t="shared" si="4"/>
        <v>0.9980395821500457</v>
      </c>
    </row>
    <row r="95" spans="2:7" ht="10.5">
      <c r="B95" s="1">
        <f t="shared" si="5"/>
        <v>4.999999999999998</v>
      </c>
      <c r="E95" s="68">
        <f t="shared" si="1"/>
        <v>4.664</v>
      </c>
      <c r="F95" s="68">
        <f t="shared" si="2"/>
        <v>4.674499999999998</v>
      </c>
      <c r="G95" s="69">
        <f t="shared" si="4"/>
        <v>0.9977537704567336</v>
      </c>
    </row>
    <row r="96" spans="2:7" ht="10.5">
      <c r="B96" s="1">
        <f t="shared" si="5"/>
        <v>5.099999999999998</v>
      </c>
      <c r="E96" s="68">
        <f t="shared" si="1"/>
        <v>4.725</v>
      </c>
      <c r="F96" s="68">
        <f t="shared" si="2"/>
        <v>4.736696399999999</v>
      </c>
      <c r="G96" s="69">
        <f t="shared" si="4"/>
        <v>0.9975306840438414</v>
      </c>
    </row>
    <row r="97" spans="2:7" ht="10.5">
      <c r="B97" s="1">
        <f t="shared" si="5"/>
        <v>5.1999999999999975</v>
      </c>
      <c r="E97" s="68">
        <f t="shared" si="1"/>
        <v>4.783999999999999</v>
      </c>
      <c r="F97" s="68">
        <f t="shared" si="2"/>
        <v>4.796563199999999</v>
      </c>
      <c r="G97" s="69">
        <f t="shared" si="4"/>
        <v>0.997380791313247</v>
      </c>
    </row>
    <row r="98" spans="2:7" ht="10.5">
      <c r="B98" s="1">
        <f t="shared" si="5"/>
        <v>5.299999999999997</v>
      </c>
      <c r="E98" s="68">
        <f t="shared" si="1"/>
        <v>4.840999999999999</v>
      </c>
      <c r="F98" s="68">
        <f t="shared" si="2"/>
        <v>4.8540367999999985</v>
      </c>
      <c r="G98" s="69">
        <f t="shared" si="4"/>
        <v>0.9973142354421377</v>
      </c>
    </row>
    <row r="99" spans="2:7" ht="10.5">
      <c r="B99" s="1">
        <f t="shared" si="5"/>
        <v>5.399999999999997</v>
      </c>
      <c r="E99" s="68">
        <f t="shared" si="1"/>
        <v>4.895999999999999</v>
      </c>
      <c r="F99" s="68">
        <f t="shared" si="2"/>
        <v>4.909053599999998</v>
      </c>
      <c r="G99" s="69">
        <f t="shared" si="4"/>
        <v>0.9973409131242732</v>
      </c>
    </row>
    <row r="100" spans="2:7" ht="10.5">
      <c r="B100" s="1">
        <f t="shared" si="5"/>
        <v>5.4999999999999964</v>
      </c>
      <c r="E100" s="68">
        <f t="shared" si="1"/>
        <v>4.948999999999998</v>
      </c>
      <c r="F100" s="68">
        <f t="shared" si="2"/>
        <v>4.9491749999999985</v>
      </c>
      <c r="G100" s="69">
        <f t="shared" si="4"/>
        <v>0.9999646405714082</v>
      </c>
    </row>
    <row r="101" spans="2:7" ht="10.5">
      <c r="B101" s="1">
        <f t="shared" si="5"/>
        <v>5.599999999999996</v>
      </c>
      <c r="E101" s="68">
        <f t="shared" si="1"/>
        <v>4.999999999999998</v>
      </c>
      <c r="F101" s="68">
        <f t="shared" si="2"/>
        <v>4.992511999999999</v>
      </c>
      <c r="G101" s="69">
        <f t="shared" si="4"/>
        <v>1.0014998461696236</v>
      </c>
    </row>
    <row r="102" spans="2:7" ht="10.5">
      <c r="B102" s="1">
        <f t="shared" si="5"/>
        <v>5.699999999999996</v>
      </c>
      <c r="E102" s="68">
        <f t="shared" si="1"/>
        <v>5.048999999999998</v>
      </c>
      <c r="F102" s="68">
        <f t="shared" si="2"/>
        <v>5.034182999999999</v>
      </c>
      <c r="G102" s="69">
        <f t="shared" si="4"/>
        <v>1.0029432779857226</v>
      </c>
    </row>
    <row r="103" spans="2:7" ht="10.5">
      <c r="B103" s="1">
        <f t="shared" si="5"/>
        <v>5.799999999999995</v>
      </c>
      <c r="E103" s="68">
        <f t="shared" si="1"/>
        <v>5.095999999999999</v>
      </c>
      <c r="F103" s="68">
        <f t="shared" si="2"/>
        <v>5.074187999999999</v>
      </c>
      <c r="G103" s="69">
        <f t="shared" si="4"/>
        <v>1.004298618813493</v>
      </c>
    </row>
    <row r="104" spans="2:7" ht="10.5">
      <c r="B104" s="1">
        <f t="shared" si="5"/>
        <v>5.899999999999995</v>
      </c>
      <c r="E104" s="68">
        <f t="shared" si="1"/>
        <v>5.140999999999998</v>
      </c>
      <c r="F104" s="68">
        <f t="shared" si="2"/>
        <v>5.112526999999998</v>
      </c>
      <c r="G104" s="69">
        <f t="shared" si="4"/>
        <v>1.0055692615413083</v>
      </c>
    </row>
    <row r="105" spans="2:7" ht="10.5">
      <c r="B105" s="1">
        <f t="shared" si="5"/>
        <v>5.999999999999995</v>
      </c>
      <c r="E105" s="68">
        <f t="shared" si="1"/>
        <v>5.1839999999999975</v>
      </c>
      <c r="F105" s="68">
        <f t="shared" si="2"/>
        <v>5.149199999999999</v>
      </c>
      <c r="G105" s="69">
        <f t="shared" si="4"/>
        <v>1.0067583313912838</v>
      </c>
    </row>
    <row r="106" spans="2:7" ht="10.5">
      <c r="B106" s="1">
        <f t="shared" si="5"/>
        <v>6.099999999999994</v>
      </c>
      <c r="E106" s="68">
        <f t="shared" si="1"/>
        <v>5.224999999999998</v>
      </c>
      <c r="F106" s="68">
        <f t="shared" si="2"/>
        <v>5.184206999999999</v>
      </c>
      <c r="G106" s="69">
        <f t="shared" si="4"/>
        <v>1.0078687058599316</v>
      </c>
    </row>
    <row r="107" spans="2:7" ht="10.5">
      <c r="B107" s="1">
        <f t="shared" si="5"/>
        <v>6.199999999999994</v>
      </c>
      <c r="E107" s="68">
        <f t="shared" si="1"/>
        <v>5.263999999999999</v>
      </c>
      <c r="F107" s="68">
        <f t="shared" si="2"/>
        <v>5.217547999999999</v>
      </c>
      <c r="G107" s="69">
        <f t="shared" si="4"/>
        <v>1.008903032612254</v>
      </c>
    </row>
    <row r="108" spans="2:7" ht="10.5">
      <c r="B108" s="1">
        <f t="shared" si="5"/>
        <v>6.299999999999994</v>
      </c>
      <c r="E108" s="68">
        <f t="shared" si="1"/>
        <v>5.300999999999998</v>
      </c>
      <c r="F108" s="68">
        <f t="shared" si="2"/>
        <v>5.249222999999999</v>
      </c>
      <c r="G108" s="69">
        <f t="shared" si="4"/>
        <v>1.0098637455486268</v>
      </c>
    </row>
    <row r="109" spans="2:7" ht="10.5">
      <c r="B109" s="1">
        <f t="shared" si="5"/>
        <v>6.399999999999993</v>
      </c>
      <c r="E109" s="68">
        <f aca="true" t="shared" si="6" ref="E109:E126">IF(B109&lt;3.6,B109,IF(B109&lt;8.1,-0.1*B109*B109+1.62*B109-0.936,5.625))</f>
        <v>5.3359999999999985</v>
      </c>
      <c r="F109" s="68">
        <f t="shared" si="2"/>
        <v>5.279231999999999</v>
      </c>
      <c r="G109" s="69">
        <f t="shared" si="4"/>
        <v>1.0107530792357675</v>
      </c>
    </row>
    <row r="110" spans="2:7" ht="10.5">
      <c r="B110" s="1">
        <f t="shared" si="5"/>
        <v>6.499999999999993</v>
      </c>
      <c r="E110" s="68">
        <f t="shared" si="6"/>
        <v>5.368999999999998</v>
      </c>
      <c r="F110" s="68">
        <f aca="true" t="shared" si="7" ref="F110:F126">(IF(B110&lt;3.6,1,IF(B110&lt;5.5,-0.0106*B110*B110+0.0457*B110+0.9714,IF(B110&lt;8,-0.0833*$B110+1.358,0.69)))*B110)</f>
        <v>5.307574999999998</v>
      </c>
      <c r="G110" s="69">
        <f t="shared" si="4"/>
        <v>1.0115730818688384</v>
      </c>
    </row>
    <row r="111" spans="2:7" ht="10.5">
      <c r="B111" s="1">
        <f t="shared" si="5"/>
        <v>6.5999999999999925</v>
      </c>
      <c r="E111" s="68">
        <f t="shared" si="6"/>
        <v>5.399999999999998</v>
      </c>
      <c r="F111" s="68">
        <f t="shared" si="7"/>
        <v>5.334251999999998</v>
      </c>
      <c r="G111" s="69">
        <f aca="true" t="shared" si="8" ref="G111:G126">E111/F111</f>
        <v>1.0123256269107646</v>
      </c>
    </row>
    <row r="112" spans="2:7" ht="10.5">
      <c r="B112" s="1">
        <f t="shared" si="5"/>
        <v>6.699999999999992</v>
      </c>
      <c r="E112" s="68">
        <f t="shared" si="6"/>
        <v>5.4289999999999985</v>
      </c>
      <c r="F112" s="68">
        <f t="shared" si="7"/>
        <v>5.3592629999999986</v>
      </c>
      <c r="G112" s="69">
        <f t="shared" si="8"/>
        <v>1.0130124235365945</v>
      </c>
    </row>
    <row r="113" spans="2:7" ht="10.5">
      <c r="B113" s="1">
        <f t="shared" si="5"/>
        <v>6.799999999999992</v>
      </c>
      <c r="E113" s="68">
        <f t="shared" si="6"/>
        <v>5.455999999999998</v>
      </c>
      <c r="F113" s="68">
        <f t="shared" si="7"/>
        <v>5.382607999999999</v>
      </c>
      <c r="G113" s="69">
        <f t="shared" si="8"/>
        <v>1.0136350259948335</v>
      </c>
    </row>
    <row r="114" spans="2:7" ht="10.5">
      <c r="B114" s="1">
        <f t="shared" si="5"/>
        <v>6.8999999999999915</v>
      </c>
      <c r="E114" s="68">
        <f t="shared" si="6"/>
        <v>5.480999999999998</v>
      </c>
      <c r="F114" s="68">
        <f t="shared" si="7"/>
        <v>5.404286999999998</v>
      </c>
      <c r="G114" s="69">
        <f t="shared" si="8"/>
        <v>1.0141948419837805</v>
      </c>
    </row>
    <row r="115" spans="2:7" ht="10.5">
      <c r="B115" s="1">
        <f t="shared" si="5"/>
        <v>6.999999999999991</v>
      </c>
      <c r="E115" s="68">
        <f t="shared" si="6"/>
        <v>5.503999999999998</v>
      </c>
      <c r="F115" s="68">
        <f t="shared" si="7"/>
        <v>5.424299999999999</v>
      </c>
      <c r="G115" s="69">
        <f t="shared" si="8"/>
        <v>1.01469314012868</v>
      </c>
    </row>
    <row r="116" spans="2:7" ht="10.5">
      <c r="B116" s="1">
        <f t="shared" si="5"/>
        <v>7.099999999999991</v>
      </c>
      <c r="E116" s="68">
        <f t="shared" si="6"/>
        <v>5.5249999999999995</v>
      </c>
      <c r="F116" s="68">
        <f t="shared" si="7"/>
        <v>5.442646999999999</v>
      </c>
      <c r="G116" s="69">
        <f t="shared" si="8"/>
        <v>1.0151310566347589</v>
      </c>
    </row>
    <row r="117" spans="2:7" ht="10.5">
      <c r="B117" s="1">
        <f t="shared" si="5"/>
        <v>7.19999999999999</v>
      </c>
      <c r="E117" s="68">
        <f t="shared" si="6"/>
        <v>5.543999999999999</v>
      </c>
      <c r="F117" s="68">
        <f t="shared" si="7"/>
        <v>5.459327999999999</v>
      </c>
      <c r="G117" s="69">
        <f t="shared" si="8"/>
        <v>1.0155096011816838</v>
      </c>
    </row>
    <row r="118" spans="2:7" ht="10.5">
      <c r="B118" s="1">
        <f t="shared" si="5"/>
        <v>7.29999999999999</v>
      </c>
      <c r="E118" s="68">
        <f t="shared" si="6"/>
        <v>5.560999999999998</v>
      </c>
      <c r="F118" s="68">
        <f t="shared" si="7"/>
        <v>5.474342999999999</v>
      </c>
      <c r="G118" s="69">
        <f t="shared" si="8"/>
        <v>1.0158296621165315</v>
      </c>
    </row>
    <row r="119" spans="2:7" ht="10.5">
      <c r="B119" s="1">
        <f t="shared" si="5"/>
        <v>7.39999999999999</v>
      </c>
      <c r="E119" s="68">
        <f t="shared" si="6"/>
        <v>5.575999999999999</v>
      </c>
      <c r="F119" s="68">
        <f t="shared" si="7"/>
        <v>5.487692</v>
      </c>
      <c r="G119" s="69">
        <f t="shared" si="8"/>
        <v>1.016092010994786</v>
      </c>
    </row>
    <row r="120" spans="2:7" ht="10.5">
      <c r="B120" s="1">
        <f t="shared" si="5"/>
        <v>7.499999999999989</v>
      </c>
      <c r="E120" s="68">
        <f t="shared" si="6"/>
        <v>5.5889999999999995</v>
      </c>
      <c r="F120" s="68">
        <f t="shared" si="7"/>
        <v>5.499375</v>
      </c>
      <c r="G120" s="69">
        <f t="shared" si="8"/>
        <v>1.0162973065121037</v>
      </c>
    </row>
    <row r="121" spans="2:7" ht="10.5">
      <c r="B121" s="1">
        <f t="shared" si="5"/>
        <v>7.599999999999989</v>
      </c>
      <c r="E121" s="68">
        <f t="shared" si="6"/>
        <v>5.6000000000000005</v>
      </c>
      <c r="F121" s="68">
        <f t="shared" si="7"/>
        <v>5.509392</v>
      </c>
      <c r="G121" s="69">
        <f t="shared" si="8"/>
        <v>1.0164460978634304</v>
      </c>
    </row>
    <row r="122" spans="2:7" ht="10.5">
      <c r="B122" s="1">
        <f t="shared" si="5"/>
        <v>7.699999999999989</v>
      </c>
      <c r="E122" s="68">
        <f t="shared" si="6"/>
        <v>5.609</v>
      </c>
      <c r="F122" s="68">
        <f t="shared" si="7"/>
        <v>5.517743</v>
      </c>
      <c r="G122" s="69">
        <f t="shared" si="8"/>
        <v>1.0165388275604716</v>
      </c>
    </row>
    <row r="123" spans="2:7" ht="10.5">
      <c r="B123" s="1">
        <f t="shared" si="5"/>
        <v>7.799999999999988</v>
      </c>
      <c r="E123" s="68">
        <f t="shared" si="6"/>
        <v>5.615999999999999</v>
      </c>
      <c r="F123" s="68">
        <f t="shared" si="7"/>
        <v>5.524428</v>
      </c>
      <c r="G123" s="69">
        <f t="shared" si="8"/>
        <v>1.0165758337333746</v>
      </c>
    </row>
    <row r="124" spans="2:7" ht="10.5">
      <c r="B124" s="1">
        <f t="shared" si="5"/>
        <v>7.899999999999988</v>
      </c>
      <c r="E124" s="68">
        <f t="shared" si="6"/>
        <v>5.6209999999999996</v>
      </c>
      <c r="F124" s="68">
        <f t="shared" si="7"/>
        <v>5.529447000000001</v>
      </c>
      <c r="G124" s="69">
        <f t="shared" si="8"/>
        <v>1.0165573519377251</v>
      </c>
    </row>
    <row r="125" spans="2:7" ht="10.5">
      <c r="B125" s="1">
        <f t="shared" si="5"/>
        <v>7.999999999999988</v>
      </c>
      <c r="E125" s="68">
        <f t="shared" si="6"/>
        <v>5.6240000000000006</v>
      </c>
      <c r="F125" s="68">
        <f t="shared" si="7"/>
        <v>5.5328</v>
      </c>
      <c r="G125" s="69">
        <f t="shared" si="8"/>
        <v>1.0164835164835166</v>
      </c>
    </row>
    <row r="126" spans="2:7" ht="10.5">
      <c r="B126" s="1">
        <f t="shared" si="5"/>
        <v>8.099999999999987</v>
      </c>
      <c r="E126" s="68">
        <f t="shared" si="6"/>
        <v>5.625000000000001</v>
      </c>
      <c r="F126" s="68">
        <f t="shared" si="7"/>
        <v>5.588999999999991</v>
      </c>
      <c r="G126" s="69">
        <f t="shared" si="8"/>
        <v>1.00644122383253</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2:C89"/>
  <sheetViews>
    <sheetView zoomScalePageLayoutView="0" workbookViewId="0" topLeftCell="A1">
      <selection activeCell="E25" sqref="E25"/>
    </sheetView>
  </sheetViews>
  <sheetFormatPr defaultColWidth="8.8515625" defaultRowHeight="12.75"/>
  <cols>
    <col min="1" max="16384" width="8.8515625" style="1" customWidth="1"/>
  </cols>
  <sheetData>
    <row r="2" ht="10.5">
      <c r="A2" s="10" t="s">
        <v>98</v>
      </c>
    </row>
    <row r="4" spans="1:2" ht="10.5">
      <c r="A4" s="72" t="s">
        <v>85</v>
      </c>
      <c r="B4" s="72" t="s">
        <v>2</v>
      </c>
    </row>
    <row r="5" spans="1:2" ht="10.5">
      <c r="A5" s="72" t="s">
        <v>86</v>
      </c>
      <c r="B5" s="72" t="s">
        <v>86</v>
      </c>
    </row>
    <row r="6" spans="1:2" ht="10.5">
      <c r="A6" s="1">
        <v>-100</v>
      </c>
      <c r="B6" s="1">
        <v>13.5</v>
      </c>
    </row>
    <row r="7" spans="1:2" ht="10.5">
      <c r="A7" s="1">
        <v>-10.4</v>
      </c>
      <c r="B7" s="1">
        <v>15</v>
      </c>
    </row>
    <row r="8" spans="1:2" ht="10.5">
      <c r="A8" s="1">
        <v>-10</v>
      </c>
      <c r="B8" s="1">
        <v>13.5</v>
      </c>
    </row>
    <row r="9" spans="1:2" ht="10.5">
      <c r="A9" s="1">
        <v>-8.7</v>
      </c>
      <c r="B9" s="1">
        <v>10</v>
      </c>
    </row>
    <row r="10" spans="1:2" ht="10.5">
      <c r="A10" s="1">
        <v>-6.1</v>
      </c>
      <c r="B10" s="1">
        <v>5</v>
      </c>
    </row>
    <row r="11" spans="1:2" ht="10.5">
      <c r="A11" s="1">
        <v>-5</v>
      </c>
      <c r="B11" s="1">
        <v>3.3</v>
      </c>
    </row>
    <row r="12" spans="1:2" ht="10.5">
      <c r="A12" s="1">
        <v>-4.7</v>
      </c>
      <c r="B12" s="1">
        <v>3</v>
      </c>
    </row>
    <row r="13" spans="1:2" ht="10.5">
      <c r="A13" s="1">
        <v>-2.3</v>
      </c>
      <c r="B13" s="1">
        <v>1</v>
      </c>
    </row>
    <row r="14" spans="1:2" ht="10.5">
      <c r="A14" s="1">
        <v>0</v>
      </c>
      <c r="B14" s="1">
        <v>0</v>
      </c>
    </row>
    <row r="15" spans="1:2" ht="10.5">
      <c r="A15" s="1">
        <v>2.3</v>
      </c>
      <c r="B15" s="1">
        <v>1</v>
      </c>
    </row>
    <row r="16" spans="1:2" ht="10.5">
      <c r="A16" s="1">
        <v>4.6</v>
      </c>
      <c r="B16" s="1">
        <v>3</v>
      </c>
    </row>
    <row r="17" spans="1:2" ht="10.5">
      <c r="A17" s="1">
        <v>6.6</v>
      </c>
      <c r="B17" s="1">
        <v>5</v>
      </c>
    </row>
    <row r="18" spans="1:2" ht="10.5">
      <c r="A18" s="1">
        <v>10.8</v>
      </c>
      <c r="B18" s="1">
        <v>10</v>
      </c>
    </row>
    <row r="19" spans="1:2" ht="10.5">
      <c r="A19" s="1">
        <v>14.9</v>
      </c>
      <c r="B19" s="1">
        <v>14.9</v>
      </c>
    </row>
    <row r="20" spans="1:2" ht="10.5">
      <c r="A20" s="1">
        <v>19.5</v>
      </c>
      <c r="B20" s="1">
        <v>19.5</v>
      </c>
    </row>
    <row r="21" spans="1:2" ht="10.5">
      <c r="A21" s="1">
        <v>23</v>
      </c>
      <c r="B21" s="1">
        <v>23</v>
      </c>
    </row>
    <row r="22" spans="1:2" ht="10.5">
      <c r="A22" s="1">
        <v>26</v>
      </c>
      <c r="B22" s="1">
        <v>25</v>
      </c>
    </row>
    <row r="23" spans="1:2" ht="10.5">
      <c r="A23" s="1">
        <v>30.8</v>
      </c>
      <c r="B23" s="1">
        <v>27</v>
      </c>
    </row>
    <row r="24" spans="1:2" ht="10.5">
      <c r="A24" s="1">
        <v>35</v>
      </c>
      <c r="B24" s="1">
        <v>28</v>
      </c>
    </row>
    <row r="25" spans="1:2" ht="10.5">
      <c r="A25" s="1">
        <v>100</v>
      </c>
      <c r="B25" s="1">
        <v>28</v>
      </c>
    </row>
    <row r="27" ht="10.5">
      <c r="A27" s="10" t="s">
        <v>99</v>
      </c>
    </row>
    <row r="29" spans="1:2" ht="10.5">
      <c r="A29" s="72" t="s">
        <v>85</v>
      </c>
      <c r="B29" s="72" t="s">
        <v>2</v>
      </c>
    </row>
    <row r="30" spans="1:2" ht="10.5">
      <c r="A30" s="72" t="s">
        <v>86</v>
      </c>
      <c r="B30" s="72" t="s">
        <v>86</v>
      </c>
    </row>
    <row r="31" spans="1:3" ht="10.5">
      <c r="A31" s="94">
        <v>3.5</v>
      </c>
      <c r="B31" s="95">
        <f>finterpolate(A31,A$6:A$25,1)</f>
        <v>2.0434782608695654</v>
      </c>
      <c r="C31" s="1" t="s">
        <v>94</v>
      </c>
    </row>
    <row r="32" spans="1:2" ht="10.5">
      <c r="A32" s="96">
        <v>3.5</v>
      </c>
      <c r="B32" s="100">
        <v>35</v>
      </c>
    </row>
    <row r="33" spans="1:2" ht="10.5">
      <c r="A33" s="89"/>
      <c r="B33" s="90"/>
    </row>
    <row r="34" spans="1:3" ht="10.5">
      <c r="A34" s="96">
        <v>25.5</v>
      </c>
      <c r="B34" s="97">
        <f>finterpolate(A34,A$6:A$25,1)</f>
        <v>24.666666666666668</v>
      </c>
      <c r="C34" s="1" t="s">
        <v>95</v>
      </c>
    </row>
    <row r="35" spans="1:2" ht="10.5">
      <c r="A35" s="98">
        <v>25.5</v>
      </c>
      <c r="B35" s="101">
        <v>35</v>
      </c>
    </row>
    <row r="37" spans="1:3" ht="10.5">
      <c r="A37" s="85">
        <v>1</v>
      </c>
      <c r="B37" s="86">
        <v>0.4</v>
      </c>
      <c r="C37" s="1" t="s">
        <v>89</v>
      </c>
    </row>
    <row r="38" spans="1:2" ht="10.5">
      <c r="A38" s="87">
        <v>-9.9</v>
      </c>
      <c r="B38" s="88">
        <v>32.5</v>
      </c>
    </row>
    <row r="39" spans="1:2" ht="10.5">
      <c r="A39" s="87">
        <v>3.4</v>
      </c>
      <c r="B39" s="88">
        <v>32.5</v>
      </c>
    </row>
    <row r="40" spans="1:3" ht="10.5">
      <c r="A40" s="81">
        <f>A38+A37</f>
        <v>-8.9</v>
      </c>
      <c r="B40" s="82">
        <f>B38-B37</f>
        <v>32.1</v>
      </c>
      <c r="C40" s="1" t="s">
        <v>91</v>
      </c>
    </row>
    <row r="41" spans="1:3" ht="10.5">
      <c r="A41" s="81">
        <f>A38</f>
        <v>-9.9</v>
      </c>
      <c r="B41" s="82">
        <f>B38</f>
        <v>32.5</v>
      </c>
      <c r="C41" s="1" t="s">
        <v>90</v>
      </c>
    </row>
    <row r="42" spans="1:2" ht="10.5">
      <c r="A42" s="81">
        <f>A38+A37</f>
        <v>-8.9</v>
      </c>
      <c r="B42" s="82">
        <f>B38+B37</f>
        <v>32.9</v>
      </c>
    </row>
    <row r="43" spans="1:2" ht="10.5">
      <c r="A43" s="81">
        <f>A38</f>
        <v>-9.9</v>
      </c>
      <c r="B43" s="82">
        <f>B38</f>
        <v>32.5</v>
      </c>
    </row>
    <row r="44" spans="1:2" ht="10.5">
      <c r="A44" s="81">
        <f>A39</f>
        <v>3.4</v>
      </c>
      <c r="B44" s="82">
        <f>B39</f>
        <v>32.5</v>
      </c>
    </row>
    <row r="45" spans="1:2" ht="10.5">
      <c r="A45" s="105">
        <f aca="true" t="shared" si="0" ref="A45:B47">$B38</f>
        <v>32.5</v>
      </c>
      <c r="B45" s="82">
        <f t="shared" si="0"/>
        <v>32.5</v>
      </c>
    </row>
    <row r="46" spans="1:2" ht="10.5">
      <c r="A46" s="105">
        <f t="shared" si="0"/>
        <v>32.5</v>
      </c>
      <c r="B46" s="82">
        <f t="shared" si="0"/>
        <v>32.5</v>
      </c>
    </row>
    <row r="47" spans="1:2" ht="10.5">
      <c r="A47" s="105">
        <f t="shared" si="0"/>
        <v>32.1</v>
      </c>
      <c r="B47" s="82">
        <f t="shared" si="0"/>
        <v>32.1</v>
      </c>
    </row>
    <row r="48" spans="1:2" ht="10.5">
      <c r="A48" s="66"/>
      <c r="B48" s="66"/>
    </row>
    <row r="49" spans="1:3" ht="10.5">
      <c r="A49" s="85">
        <v>1</v>
      </c>
      <c r="B49" s="86">
        <v>0.4</v>
      </c>
      <c r="C49" s="1" t="s">
        <v>89</v>
      </c>
    </row>
    <row r="50" spans="1:2" ht="10.5">
      <c r="A50" s="87">
        <v>3.6</v>
      </c>
      <c r="B50" s="88">
        <v>32.5</v>
      </c>
    </row>
    <row r="51" spans="1:2" ht="10.5">
      <c r="A51" s="87">
        <v>25.4</v>
      </c>
      <c r="B51" s="88">
        <v>32.5</v>
      </c>
    </row>
    <row r="52" spans="1:3" ht="10.5">
      <c r="A52" s="81">
        <v>3.5</v>
      </c>
      <c r="B52" s="82">
        <f>B50-B49</f>
        <v>32.1</v>
      </c>
      <c r="C52" s="1" t="s">
        <v>93</v>
      </c>
    </row>
    <row r="53" spans="1:3" ht="10.5">
      <c r="A53" s="81">
        <v>3.5</v>
      </c>
      <c r="B53" s="82">
        <f>B50</f>
        <v>32.5</v>
      </c>
      <c r="C53" s="1" t="s">
        <v>90</v>
      </c>
    </row>
    <row r="54" spans="1:2" ht="10.5">
      <c r="A54" s="81">
        <v>3.5</v>
      </c>
      <c r="B54" s="82">
        <f>B50+B49</f>
        <v>32.9</v>
      </c>
    </row>
    <row r="55" spans="1:2" ht="10.5">
      <c r="A55" s="81">
        <v>3.5</v>
      </c>
      <c r="B55" s="82">
        <f>B50</f>
        <v>32.5</v>
      </c>
    </row>
    <row r="56" spans="1:2" ht="10.5">
      <c r="A56" s="81">
        <f>A51</f>
        <v>25.4</v>
      </c>
      <c r="B56" s="82">
        <f>B51</f>
        <v>32.5</v>
      </c>
    </row>
    <row r="57" spans="1:2" ht="10.5">
      <c r="A57" s="81">
        <f>A51-A$37</f>
        <v>24.4</v>
      </c>
      <c r="B57" s="82">
        <f>B51-B$37</f>
        <v>32.1</v>
      </c>
    </row>
    <row r="58" spans="1:2" ht="10.5">
      <c r="A58" s="81">
        <f>A51</f>
        <v>25.4</v>
      </c>
      <c r="B58" s="82">
        <f>B51</f>
        <v>32.5</v>
      </c>
    </row>
    <row r="59" spans="1:2" ht="10.5">
      <c r="A59" s="83">
        <f>A51-A49</f>
        <v>24.4</v>
      </c>
      <c r="B59" s="84">
        <f>B51+B49</f>
        <v>32.9</v>
      </c>
    </row>
    <row r="61" spans="1:3" ht="10.5">
      <c r="A61" s="85">
        <v>1</v>
      </c>
      <c r="B61" s="86">
        <v>0.4</v>
      </c>
      <c r="C61" s="1" t="s">
        <v>89</v>
      </c>
    </row>
    <row r="62" spans="1:2" ht="10.5">
      <c r="A62" s="87">
        <v>-9.95</v>
      </c>
      <c r="B62" s="88">
        <v>27.5</v>
      </c>
    </row>
    <row r="63" spans="1:2" ht="10.5">
      <c r="A63" s="87">
        <v>25.4</v>
      </c>
      <c r="B63" s="88">
        <v>27.5</v>
      </c>
    </row>
    <row r="64" spans="1:3" ht="10.5">
      <c r="A64" s="81">
        <f>A62+A61</f>
        <v>-8.95</v>
      </c>
      <c r="B64" s="82">
        <f>B62-B61</f>
        <v>27.1</v>
      </c>
      <c r="C64" s="1" t="s">
        <v>92</v>
      </c>
    </row>
    <row r="65" spans="1:3" ht="10.5">
      <c r="A65" s="81">
        <f>A62</f>
        <v>-9.95</v>
      </c>
      <c r="B65" s="82">
        <f>B62</f>
        <v>27.5</v>
      </c>
      <c r="C65" s="1" t="s">
        <v>90</v>
      </c>
    </row>
    <row r="66" spans="1:2" ht="10.5">
      <c r="A66" s="81">
        <f>A62+A61</f>
        <v>-8.95</v>
      </c>
      <c r="B66" s="82">
        <f>B62+B61</f>
        <v>27.9</v>
      </c>
    </row>
    <row r="67" spans="1:2" ht="10.5">
      <c r="A67" s="81">
        <f>A62</f>
        <v>-9.95</v>
      </c>
      <c r="B67" s="82">
        <f>B62</f>
        <v>27.5</v>
      </c>
    </row>
    <row r="68" spans="1:2" ht="10.5">
      <c r="A68" s="81">
        <f>A63</f>
        <v>25.4</v>
      </c>
      <c r="B68" s="82">
        <f>B63</f>
        <v>27.5</v>
      </c>
    </row>
    <row r="69" spans="1:2" ht="10.5">
      <c r="A69" s="81">
        <f>A63-A$37</f>
        <v>24.4</v>
      </c>
      <c r="B69" s="82">
        <f>B63-B$37</f>
        <v>27.1</v>
      </c>
    </row>
    <row r="70" spans="1:2" ht="10.5">
      <c r="A70" s="81">
        <f>A63</f>
        <v>25.4</v>
      </c>
      <c r="B70" s="82">
        <f>B63</f>
        <v>27.5</v>
      </c>
    </row>
    <row r="71" spans="1:2" ht="10.5">
      <c r="A71" s="83">
        <f>A63-A61</f>
        <v>24.4</v>
      </c>
      <c r="B71" s="84">
        <f>B65+B$37</f>
        <v>27.9</v>
      </c>
    </row>
    <row r="73" spans="1:3" ht="10.5">
      <c r="A73" s="94">
        <v>-9.9</v>
      </c>
      <c r="B73" s="95">
        <v>2.04</v>
      </c>
      <c r="C73" s="1" t="s">
        <v>96</v>
      </c>
    </row>
    <row r="74" spans="1:2" ht="10.5">
      <c r="A74" s="96">
        <v>3.5</v>
      </c>
      <c r="B74" s="97">
        <f>B73</f>
        <v>2.04</v>
      </c>
    </row>
    <row r="75" spans="1:2" ht="10.5">
      <c r="A75" s="89"/>
      <c r="B75" s="90"/>
    </row>
    <row r="76" spans="1:3" ht="10.5">
      <c r="A76" s="96">
        <v>-9.95</v>
      </c>
      <c r="B76" s="97">
        <v>24.9</v>
      </c>
      <c r="C76" s="1" t="s">
        <v>97</v>
      </c>
    </row>
    <row r="77" spans="1:2" ht="10.5">
      <c r="A77" s="98">
        <v>25.5</v>
      </c>
      <c r="B77" s="99">
        <f>B76</f>
        <v>24.9</v>
      </c>
    </row>
    <row r="79" spans="1:2" ht="10.5">
      <c r="A79" s="85">
        <v>0.3</v>
      </c>
      <c r="B79" s="86">
        <v>1.3</v>
      </c>
    </row>
    <row r="80" spans="1:2" ht="10.5">
      <c r="A80" s="87">
        <v>-7</v>
      </c>
      <c r="B80" s="91">
        <f>B73+0.1</f>
        <v>2.14</v>
      </c>
    </row>
    <row r="81" spans="1:2" ht="10.5">
      <c r="A81" s="87">
        <v>-7</v>
      </c>
      <c r="B81" s="91">
        <f>B76-0.1</f>
        <v>24.799999999999997</v>
      </c>
    </row>
    <row r="82" spans="1:2" ht="10.5">
      <c r="A82" s="81">
        <f>A80+A79</f>
        <v>-6.7</v>
      </c>
      <c r="B82" s="92">
        <f>B80+B79</f>
        <v>3.4400000000000004</v>
      </c>
    </row>
    <row r="83" spans="1:2" ht="10.5">
      <c r="A83" s="81">
        <f>A80</f>
        <v>-7</v>
      </c>
      <c r="B83" s="92">
        <f>B80</f>
        <v>2.14</v>
      </c>
    </row>
    <row r="84" spans="1:2" ht="10.5">
      <c r="A84" s="81">
        <f>A80-A79</f>
        <v>-7.3</v>
      </c>
      <c r="B84" s="92">
        <f>B80+B79</f>
        <v>3.4400000000000004</v>
      </c>
    </row>
    <row r="85" spans="1:2" ht="10.5">
      <c r="A85" s="81">
        <f>A80</f>
        <v>-7</v>
      </c>
      <c r="B85" s="92">
        <f>B80</f>
        <v>2.14</v>
      </c>
    </row>
    <row r="86" spans="1:2" ht="10.5">
      <c r="A86" s="81">
        <f>A81</f>
        <v>-7</v>
      </c>
      <c r="B86" s="92">
        <f>B81</f>
        <v>24.799999999999997</v>
      </c>
    </row>
    <row r="87" spans="1:2" ht="10.5">
      <c r="A87" s="81">
        <f>A81-A$79</f>
        <v>-7.3</v>
      </c>
      <c r="B87" s="92">
        <f>B81-B$79</f>
        <v>23.499999999999996</v>
      </c>
    </row>
    <row r="88" spans="1:2" ht="10.5">
      <c r="A88" s="81">
        <f>A81</f>
        <v>-7</v>
      </c>
      <c r="B88" s="92">
        <f>B81</f>
        <v>24.799999999999997</v>
      </c>
    </row>
    <row r="89" spans="1:2" ht="10.5">
      <c r="A89" s="83">
        <f>A81+A79</f>
        <v>-6.7</v>
      </c>
      <c r="B89" s="93">
        <f>B81-B79</f>
        <v>23.499999999999996</v>
      </c>
    </row>
  </sheetData>
  <sheetProtection/>
  <printOptions gridLines="1"/>
  <pageMargins left="0.75" right="0.75" top="1" bottom="1" header="0.5" footer="0.5"/>
  <pageSetup horizontalDpi="600" verticalDpi="600" orientation="portrait" pageOrder="overThenDown" r:id="rId1"/>
  <headerFooter alignWithMargins="0">
    <oddHeader>&amp;L&amp;8&amp;F&amp;C&amp;8&amp;A&amp;R&amp;8Print Date: &amp;D
Page &amp;P of &amp;N</oddHeader>
  </headerFooter>
</worksheet>
</file>

<file path=xl/worksheets/sheet5.xml><?xml version="1.0" encoding="utf-8"?>
<worksheet xmlns="http://schemas.openxmlformats.org/spreadsheetml/2006/main" xmlns:r="http://schemas.openxmlformats.org/officeDocument/2006/relationships">
  <sheetPr codeName="Sheet7"/>
  <dimension ref="B2:C24"/>
  <sheetViews>
    <sheetView zoomScalePageLayoutView="0" workbookViewId="0" topLeftCell="A1">
      <selection activeCell="B25" sqref="B25"/>
    </sheetView>
  </sheetViews>
  <sheetFormatPr defaultColWidth="8.8515625" defaultRowHeight="12.75"/>
  <cols>
    <col min="1" max="1" width="2.7109375" style="1" customWidth="1"/>
    <col min="2" max="2" width="45.00390625" style="1" customWidth="1"/>
    <col min="3" max="3" width="14.7109375" style="1" customWidth="1"/>
    <col min="4" max="16384" width="8.8515625" style="1" customWidth="1"/>
  </cols>
  <sheetData>
    <row r="2" spans="2:3" ht="15">
      <c r="B2" s="109" t="s">
        <v>42</v>
      </c>
      <c r="C2" s="109"/>
    </row>
    <row r="3" spans="2:3" ht="15">
      <c r="B3" s="109" t="s">
        <v>100</v>
      </c>
      <c r="C3" s="109"/>
    </row>
    <row r="4" spans="2:3" ht="15">
      <c r="B4" s="109" t="s">
        <v>101</v>
      </c>
      <c r="C4" s="109"/>
    </row>
    <row r="5" spans="2:3" ht="15">
      <c r="B5" s="104" t="s">
        <v>102</v>
      </c>
      <c r="C5" s="104"/>
    </row>
    <row r="6" spans="2:3" ht="15">
      <c r="B6" s="6"/>
      <c r="C6" s="6"/>
    </row>
    <row r="7" spans="2:3" ht="25.5">
      <c r="B7" s="3"/>
      <c r="C7" s="5" t="s">
        <v>36</v>
      </c>
    </row>
    <row r="8" spans="2:3" ht="12.75">
      <c r="B8" s="4" t="s">
        <v>35</v>
      </c>
      <c r="C8" s="7" t="s">
        <v>37</v>
      </c>
    </row>
    <row r="9" spans="2:3" ht="12.75">
      <c r="B9" s="3" t="s">
        <v>34</v>
      </c>
      <c r="C9" s="3">
        <v>15</v>
      </c>
    </row>
    <row r="10" spans="2:3" ht="12.75">
      <c r="B10" s="3" t="s">
        <v>33</v>
      </c>
      <c r="C10" s="3">
        <v>-3</v>
      </c>
    </row>
    <row r="11" spans="2:3" ht="12.75">
      <c r="B11" s="3" t="s">
        <v>32</v>
      </c>
      <c r="C11" s="3">
        <v>-3</v>
      </c>
    </row>
    <row r="12" spans="2:3" ht="12.75">
      <c r="B12" s="3" t="s">
        <v>31</v>
      </c>
      <c r="C12" s="3">
        <v>-3</v>
      </c>
    </row>
    <row r="13" spans="2:3" ht="12.75">
      <c r="B13" s="3" t="s">
        <v>30</v>
      </c>
      <c r="C13" s="3">
        <v>0</v>
      </c>
    </row>
    <row r="14" spans="2:3" ht="12.75">
      <c r="B14" s="3" t="s">
        <v>29</v>
      </c>
      <c r="C14" s="3">
        <v>0</v>
      </c>
    </row>
    <row r="15" spans="2:3" ht="12.75">
      <c r="B15" s="3" t="s">
        <v>28</v>
      </c>
      <c r="C15" s="3">
        <v>-1</v>
      </c>
    </row>
    <row r="16" spans="2:3" ht="12.75">
      <c r="B16" s="3" t="s">
        <v>27</v>
      </c>
      <c r="C16" s="3">
        <v>0</v>
      </c>
    </row>
    <row r="17" spans="2:3" ht="12.75">
      <c r="B17" s="3" t="s">
        <v>26</v>
      </c>
      <c r="C17" s="3">
        <v>5</v>
      </c>
    </row>
    <row r="18" spans="2:3" ht="12.75">
      <c r="B18" s="3" t="s">
        <v>25</v>
      </c>
      <c r="C18" s="3">
        <v>5</v>
      </c>
    </row>
    <row r="19" spans="2:3" ht="12.75">
      <c r="B19" s="3" t="s">
        <v>24</v>
      </c>
      <c r="C19" s="3">
        <v>6</v>
      </c>
    </row>
    <row r="20" spans="2:3" ht="12.75">
      <c r="B20" s="3" t="s">
        <v>23</v>
      </c>
      <c r="C20" s="3">
        <v>3</v>
      </c>
    </row>
    <row r="21" spans="2:3" ht="12.75">
      <c r="B21" s="3" t="s">
        <v>22</v>
      </c>
      <c r="C21" s="3">
        <v>2</v>
      </c>
    </row>
    <row r="22" spans="2:3" ht="12.75">
      <c r="B22" s="3" t="s">
        <v>21</v>
      </c>
      <c r="C22" s="3">
        <v>0</v>
      </c>
    </row>
    <row r="23" spans="2:3" ht="12.75">
      <c r="B23" s="3" t="s">
        <v>20</v>
      </c>
      <c r="C23" s="3">
        <v>-6</v>
      </c>
    </row>
    <row r="24" spans="2:3" ht="12.75">
      <c r="B24" s="3" t="s">
        <v>19</v>
      </c>
      <c r="C24" s="3">
        <v>-6</v>
      </c>
    </row>
  </sheetData>
  <sheetProtection/>
  <mergeCells count="3">
    <mergeCell ref="B4:C4"/>
    <mergeCell ref="B2:C2"/>
    <mergeCell ref="B3:C3"/>
  </mergeCells>
  <printOptions gridLines="1"/>
  <pageMargins left="0.75" right="0.75" top="1" bottom="1" header="0.5" footer="0.5"/>
  <pageSetup horizontalDpi="600" verticalDpi="600" orientation="portrait" pageOrder="overThenDown" r:id="rId1"/>
  <headerFooter alignWithMargins="0">
    <oddHeader>&amp;L&amp;8&amp;F&amp;C&amp;8&amp;A&amp;R&amp;8Print Date: &amp;D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Adrian's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Value</dc:title>
  <dc:subject/>
  <dc:creator>Ronald J Adrian</dc:creator>
  <cp:keywords/>
  <dc:description/>
  <cp:lastModifiedBy>Andrew Graham</cp:lastModifiedBy>
  <cp:lastPrinted>2022-01-27T15:16:48Z</cp:lastPrinted>
  <dcterms:created xsi:type="dcterms:W3CDTF">2000-02-20T16:53:00Z</dcterms:created>
  <dcterms:modified xsi:type="dcterms:W3CDTF">2022-01-27T15:20:49Z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